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aff\Home\FCA\mooreto\DocumentsRedir\Budget Project\"/>
    </mc:Choice>
  </mc:AlternateContent>
  <bookViews>
    <workbookView xWindow="0" yWindow="0" windowWidth="28800" windowHeight="12435" tabRatio="927" activeTab="3"/>
  </bookViews>
  <sheets>
    <sheet name="Aggregated expenditure (Core)" sheetId="4" r:id="rId1"/>
    <sheet name="Nominal per person (Core)" sheetId="5" r:id="rId2"/>
    <sheet name="Real (Core)" sheetId="7" r:id="rId3"/>
    <sheet name="Real per person (Core)" sheetId="9" r:id="rId4"/>
    <sheet name="Growth rate (Core)" sheetId="20" r:id="rId5"/>
    <sheet name="Total crown" sheetId="12" r:id="rId6"/>
    <sheet name="Nominal per person (Total)" sheetId="13" r:id="rId7"/>
    <sheet name="Real (total)" sheetId="14" r:id="rId8"/>
    <sheet name="Real per person (Total)" sheetId="15" r:id="rId9"/>
    <sheet name="Growth rate (Total)" sheetId="11" r:id="rId10"/>
    <sheet name="Population" sheetId="2" r:id="rId11"/>
    <sheet name="Inflation" sheetId="8" r:id="rId12"/>
    <sheet name="NZ SUPER" sheetId="10" r:id="rId13"/>
    <sheet name="Core Crown Expenditure 93-16" sheetId="1" r:id="rId14"/>
    <sheet name="Allocations" sheetId="21" r:id="rId15"/>
    <sheet name="From allocate tab" sheetId="22" r:id="rId16"/>
    <sheet name="From Fiscal forecasts" sheetId="23"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2" i="9" l="1"/>
  <c r="AE50" i="9" s="1"/>
  <c r="AE32" i="5"/>
  <c r="AE50" i="5" s="1"/>
  <c r="AE2" i="5"/>
  <c r="AE2" i="7"/>
  <c r="AE2" i="9"/>
  <c r="AE3" i="10"/>
  <c r="AE1" i="10"/>
  <c r="AE6" i="1"/>
  <c r="AE7" i="1"/>
  <c r="AE8" i="1"/>
  <c r="AE9" i="1"/>
  <c r="AE10" i="1"/>
  <c r="AE11" i="1"/>
  <c r="AE12" i="1"/>
  <c r="AE22" i="1" s="1"/>
  <c r="AE13" i="1"/>
  <c r="AE14" i="1"/>
  <c r="AE15" i="1"/>
  <c r="AE16" i="1"/>
  <c r="AE17" i="1"/>
  <c r="AE18" i="1"/>
  <c r="AE19" i="1"/>
  <c r="AE20" i="1"/>
  <c r="AE21" i="1"/>
  <c r="I3" i="11"/>
  <c r="J3" i="11"/>
  <c r="K3" i="11"/>
  <c r="L3" i="11"/>
  <c r="M3" i="11"/>
  <c r="N3" i="11"/>
  <c r="I4" i="11"/>
  <c r="J4" i="11"/>
  <c r="K4" i="11"/>
  <c r="L4" i="11"/>
  <c r="M4" i="11"/>
  <c r="N4" i="11"/>
  <c r="I5" i="11"/>
  <c r="J5" i="11"/>
  <c r="K5" i="11"/>
  <c r="L5" i="11"/>
  <c r="M5" i="11"/>
  <c r="N5" i="11"/>
  <c r="I6" i="11"/>
  <c r="J6" i="11"/>
  <c r="K6" i="11"/>
  <c r="L6" i="11"/>
  <c r="M6" i="11"/>
  <c r="N6" i="11"/>
  <c r="U32" i="15"/>
  <c r="V32" i="15"/>
  <c r="W32" i="15"/>
  <c r="X32" i="15"/>
  <c r="Y32" i="15"/>
  <c r="U37" i="15"/>
  <c r="V37" i="15"/>
  <c r="W37" i="15"/>
  <c r="X37" i="15"/>
  <c r="Y37" i="15"/>
  <c r="U38" i="15"/>
  <c r="V38" i="15"/>
  <c r="W38" i="15"/>
  <c r="X38" i="15"/>
  <c r="Y38" i="15"/>
  <c r="U39" i="15"/>
  <c r="V39" i="15"/>
  <c r="W39" i="15"/>
  <c r="X39" i="15"/>
  <c r="Y39" i="15"/>
  <c r="U40" i="15"/>
  <c r="V40" i="15"/>
  <c r="W40" i="15"/>
  <c r="X40" i="15"/>
  <c r="Y40" i="15"/>
  <c r="T37" i="15"/>
  <c r="T38" i="15"/>
  <c r="T39" i="15"/>
  <c r="T40" i="15"/>
  <c r="T32" i="15"/>
  <c r="A8" i="15"/>
  <c r="A6" i="15"/>
  <c r="T6" i="15"/>
  <c r="U6" i="15"/>
  <c r="V6" i="15"/>
  <c r="W6" i="15"/>
  <c r="X6" i="15"/>
  <c r="Y6" i="15"/>
  <c r="T7" i="15"/>
  <c r="U7" i="15"/>
  <c r="V7" i="15"/>
  <c r="W7" i="15"/>
  <c r="X7" i="15"/>
  <c r="Y7" i="15"/>
  <c r="T8" i="15"/>
  <c r="U8" i="15"/>
  <c r="U10" i="15" s="1"/>
  <c r="V8" i="15"/>
  <c r="V10" i="15" s="1"/>
  <c r="W8" i="15"/>
  <c r="X8" i="15"/>
  <c r="Y8" i="15"/>
  <c r="Y10" i="15" s="1"/>
  <c r="T9" i="15"/>
  <c r="U9" i="15"/>
  <c r="V9" i="15"/>
  <c r="W9" i="15"/>
  <c r="W10" i="15" s="1"/>
  <c r="X9" i="15"/>
  <c r="X10" i="15" s="1"/>
  <c r="Y9" i="15"/>
  <c r="T10" i="15"/>
  <c r="Y2" i="15"/>
  <c r="U2" i="15"/>
  <c r="V2" i="15" s="1"/>
  <c r="W2" i="15" s="1"/>
  <c r="X2" i="15" s="1"/>
  <c r="T2" i="15"/>
  <c r="S2" i="14"/>
  <c r="T2" i="14"/>
  <c r="U2" i="14"/>
  <c r="V2" i="14"/>
  <c r="W2" i="14"/>
  <c r="X2" i="14"/>
  <c r="Y2" i="14"/>
  <c r="S3" i="14"/>
  <c r="T3" i="14"/>
  <c r="U3" i="14"/>
  <c r="V3" i="14"/>
  <c r="W3" i="14"/>
  <c r="X3" i="14"/>
  <c r="Y3" i="14"/>
  <c r="S4" i="14"/>
  <c r="T4" i="14"/>
  <c r="U4" i="14"/>
  <c r="V4" i="14"/>
  <c r="W4" i="14"/>
  <c r="X4" i="14"/>
  <c r="Y4" i="14"/>
  <c r="S5" i="14"/>
  <c r="T5" i="14"/>
  <c r="U5" i="14"/>
  <c r="V5" i="14"/>
  <c r="W5" i="14"/>
  <c r="X5" i="14"/>
  <c r="Y5" i="14"/>
  <c r="S6" i="14"/>
  <c r="T6" i="14"/>
  <c r="U6" i="14"/>
  <c r="V6" i="14"/>
  <c r="W6" i="14"/>
  <c r="X6" i="14"/>
  <c r="Y6" i="14"/>
  <c r="S7" i="14"/>
  <c r="T7" i="14"/>
  <c r="U7" i="14"/>
  <c r="V7" i="14"/>
  <c r="W7" i="14"/>
  <c r="X7" i="14"/>
  <c r="Y7" i="14"/>
  <c r="Y4" i="12"/>
  <c r="X4" i="12"/>
  <c r="W4" i="12"/>
  <c r="W7" i="13" s="1"/>
  <c r="W38" i="13" s="1"/>
  <c r="V4" i="12"/>
  <c r="U4" i="12"/>
  <c r="U7" i="13" s="1"/>
  <c r="U38" i="13" s="1"/>
  <c r="T4" i="12"/>
  <c r="S4" i="12"/>
  <c r="Y2" i="13"/>
  <c r="T2" i="13"/>
  <c r="U2" i="13" s="1"/>
  <c r="V2" i="13" s="1"/>
  <c r="W2" i="13" s="1"/>
  <c r="X2" i="13" s="1"/>
  <c r="A8" i="13"/>
  <c r="A6" i="13"/>
  <c r="Y32" i="13"/>
  <c r="U37" i="13"/>
  <c r="V37" i="13"/>
  <c r="W37" i="13"/>
  <c r="X37" i="13"/>
  <c r="Y37" i="13"/>
  <c r="U39" i="13"/>
  <c r="V39" i="13"/>
  <c r="W39" i="13"/>
  <c r="X39" i="13"/>
  <c r="Y39" i="13"/>
  <c r="U40" i="13"/>
  <c r="V40" i="13"/>
  <c r="W40" i="13"/>
  <c r="X40" i="13"/>
  <c r="Y40" i="13"/>
  <c r="T37" i="13"/>
  <c r="T38" i="13"/>
  <c r="T39" i="13"/>
  <c r="T40" i="13"/>
  <c r="T6" i="13"/>
  <c r="U6" i="13"/>
  <c r="V6" i="13"/>
  <c r="W6" i="13"/>
  <c r="X6" i="13"/>
  <c r="Y6" i="13"/>
  <c r="T7" i="13"/>
  <c r="V7" i="13"/>
  <c r="V38" i="13" s="1"/>
  <c r="X7" i="13"/>
  <c r="X38" i="13" s="1"/>
  <c r="Y7" i="13"/>
  <c r="Y38" i="13" s="1"/>
  <c r="T8" i="13"/>
  <c r="U8" i="13"/>
  <c r="U10" i="13" s="1"/>
  <c r="V8" i="13"/>
  <c r="V10" i="13" s="1"/>
  <c r="W8" i="13"/>
  <c r="W10" i="13" s="1"/>
  <c r="X8" i="13"/>
  <c r="X10" i="13" s="1"/>
  <c r="Y8" i="13"/>
  <c r="T9" i="13"/>
  <c r="T10" i="13" s="1"/>
  <c r="U9" i="13"/>
  <c r="V9" i="13"/>
  <c r="W9" i="13"/>
  <c r="X9" i="13"/>
  <c r="Y9" i="13"/>
  <c r="Y10" i="13" s="1"/>
  <c r="T3" i="12"/>
  <c r="U3" i="12"/>
  <c r="V3" i="12"/>
  <c r="W3" i="12"/>
  <c r="X3" i="12"/>
  <c r="Y3" i="12"/>
  <c r="T5" i="12"/>
  <c r="U5" i="12"/>
  <c r="V5" i="12"/>
  <c r="W5" i="12"/>
  <c r="X5" i="12"/>
  <c r="Y5" i="12"/>
  <c r="T6" i="12"/>
  <c r="U6" i="12"/>
  <c r="V6" i="12"/>
  <c r="W6" i="12"/>
  <c r="X6" i="12"/>
  <c r="Y6" i="12"/>
  <c r="T7" i="12"/>
  <c r="U7" i="12"/>
  <c r="V7" i="12"/>
  <c r="W7" i="12"/>
  <c r="X7" i="12"/>
  <c r="Y7" i="12"/>
  <c r="Y2" i="12"/>
  <c r="U2" i="12"/>
  <c r="V2" i="12"/>
  <c r="W2" i="12" s="1"/>
  <c r="X2" i="12" s="1"/>
  <c r="T2" i="12"/>
  <c r="S7" i="12"/>
  <c r="S6" i="12"/>
  <c r="S5" i="12"/>
  <c r="S3" i="12"/>
  <c r="Z50" i="5"/>
  <c r="AA50" i="5"/>
  <c r="AB50" i="5"/>
  <c r="AC50" i="5"/>
  <c r="AD50" i="5"/>
  <c r="Y50" i="5"/>
  <c r="AD32" i="5"/>
  <c r="Z32" i="5"/>
  <c r="AA32" i="5"/>
  <c r="AB32" i="5"/>
  <c r="AC32" i="5"/>
  <c r="Y32" i="5"/>
  <c r="AD3" i="10"/>
  <c r="AC3" i="10"/>
  <c r="AB3" i="10"/>
  <c r="AA3" i="10"/>
  <c r="Z3" i="10"/>
  <c r="Y3" i="10"/>
  <c r="B3" i="10"/>
  <c r="C13" i="4"/>
  <c r="C12" i="4" s="1"/>
  <c r="Z1" i="10"/>
  <c r="AA1" i="10" s="1"/>
  <c r="C15" i="4"/>
  <c r="C11" i="4"/>
  <c r="C10" i="4"/>
  <c r="C9" i="4"/>
  <c r="C8" i="4"/>
  <c r="C7" i="4"/>
  <c r="D5" i="4"/>
  <c r="D13" i="4" s="1"/>
  <c r="D12" i="4" s="1"/>
  <c r="V5" i="1"/>
  <c r="U5" i="1" s="1"/>
  <c r="T5" i="1" s="1"/>
  <c r="S5" i="1" s="1"/>
  <c r="R5" i="1" s="1"/>
  <c r="Q5" i="1" s="1"/>
  <c r="P5" i="1" s="1"/>
  <c r="O5" i="1" s="1"/>
  <c r="N5" i="1" s="1"/>
  <c r="M5" i="1" s="1"/>
  <c r="L5" i="1" s="1"/>
  <c r="K5" i="1" s="1"/>
  <c r="J5" i="1" s="1"/>
  <c r="I5" i="1" s="1"/>
  <c r="H5" i="1" s="1"/>
  <c r="G5" i="1" s="1"/>
  <c r="F5" i="1" s="1"/>
  <c r="E5" i="1" s="1"/>
  <c r="D5" i="1" s="1"/>
  <c r="C5" i="1" s="1"/>
  <c r="B5" i="1" s="1"/>
  <c r="W5" i="1"/>
  <c r="X5" i="1"/>
  <c r="AE3" i="2"/>
  <c r="AF3" i="2"/>
  <c r="AG3" i="2"/>
  <c r="AH3" i="2"/>
  <c r="AD3" i="2"/>
  <c r="AE3" i="8"/>
  <c r="Y7" i="1"/>
  <c r="Z7" i="1"/>
  <c r="AA7" i="1"/>
  <c r="AB7" i="1"/>
  <c r="AC7" i="1"/>
  <c r="AD7" i="1"/>
  <c r="Y8" i="1"/>
  <c r="Z8" i="1"/>
  <c r="AA8" i="1"/>
  <c r="AB8" i="1"/>
  <c r="AC8" i="1"/>
  <c r="AD8" i="1"/>
  <c r="Y9" i="1"/>
  <c r="Z9" i="1"/>
  <c r="AA9" i="1"/>
  <c r="AB9" i="1"/>
  <c r="AC9" i="1"/>
  <c r="AD9" i="1"/>
  <c r="Y10" i="1"/>
  <c r="Z10" i="1"/>
  <c r="AA10" i="1"/>
  <c r="AB10" i="1"/>
  <c r="AC10" i="1"/>
  <c r="AD10" i="1"/>
  <c r="Y11" i="1"/>
  <c r="Z11" i="1"/>
  <c r="AA11" i="1"/>
  <c r="AB11" i="1"/>
  <c r="AC11" i="1"/>
  <c r="AD11" i="1"/>
  <c r="Y12" i="1"/>
  <c r="Z12" i="1"/>
  <c r="AA12" i="1"/>
  <c r="AB12" i="1"/>
  <c r="AC12" i="1"/>
  <c r="AD12" i="1"/>
  <c r="Y13" i="1"/>
  <c r="Z13" i="1"/>
  <c r="AA13" i="1"/>
  <c r="AB13" i="1"/>
  <c r="AC13" i="1"/>
  <c r="AD13" i="1"/>
  <c r="Y14" i="1"/>
  <c r="Z14" i="1"/>
  <c r="AA14" i="1"/>
  <c r="AB14" i="1"/>
  <c r="AC14" i="1"/>
  <c r="AD14" i="1"/>
  <c r="Y15" i="1"/>
  <c r="Z15" i="1"/>
  <c r="AA15" i="1"/>
  <c r="AB15" i="1"/>
  <c r="AC15" i="1"/>
  <c r="AD15" i="1"/>
  <c r="Y16" i="1"/>
  <c r="Z16" i="1"/>
  <c r="AA16" i="1"/>
  <c r="AB16" i="1"/>
  <c r="AC16" i="1"/>
  <c r="AD16" i="1"/>
  <c r="Y17" i="1"/>
  <c r="Z17" i="1"/>
  <c r="AA17" i="1"/>
  <c r="AB17" i="1"/>
  <c r="AC17" i="1"/>
  <c r="AD17" i="1"/>
  <c r="Y18" i="1"/>
  <c r="Z18" i="1"/>
  <c r="AA18" i="1"/>
  <c r="AB18" i="1"/>
  <c r="AC18" i="1"/>
  <c r="AD18" i="1"/>
  <c r="Y19" i="1"/>
  <c r="Z19" i="1"/>
  <c r="AA19" i="1"/>
  <c r="AB19" i="1"/>
  <c r="AC19" i="1"/>
  <c r="AD19" i="1"/>
  <c r="Y20" i="1"/>
  <c r="Z20" i="1"/>
  <c r="AA20" i="1"/>
  <c r="AB20" i="1"/>
  <c r="AC20" i="1"/>
  <c r="AD20" i="1"/>
  <c r="Y21" i="1"/>
  <c r="Z21" i="1"/>
  <c r="AA21" i="1"/>
  <c r="AB21" i="1"/>
  <c r="AC21" i="1"/>
  <c r="AD21" i="1"/>
  <c r="Z6" i="1"/>
  <c r="Z22" i="1" s="1"/>
  <c r="AA6" i="1"/>
  <c r="AA22" i="1" s="1"/>
  <c r="AB6" i="1"/>
  <c r="AB22" i="1" s="1"/>
  <c r="AC6" i="1"/>
  <c r="AC22" i="1" s="1"/>
  <c r="AD6" i="1"/>
  <c r="AD22" i="1" s="1"/>
  <c r="Y6" i="1"/>
  <c r="Y22" i="1" s="1"/>
  <c r="T10" i="21"/>
  <c r="U10" i="21"/>
  <c r="V10" i="21"/>
  <c r="T11" i="21"/>
  <c r="U11" i="21"/>
  <c r="V11" i="21"/>
  <c r="T12" i="21"/>
  <c r="U12" i="21"/>
  <c r="V12" i="21"/>
  <c r="T13" i="21"/>
  <c r="U13" i="21"/>
  <c r="V13" i="21"/>
  <c r="T14" i="21"/>
  <c r="U14" i="21"/>
  <c r="V14" i="21"/>
  <c r="T15" i="21"/>
  <c r="U15" i="21"/>
  <c r="V15" i="21"/>
  <c r="T16" i="21"/>
  <c r="U16" i="21"/>
  <c r="V16" i="21"/>
  <c r="T17" i="21"/>
  <c r="U17" i="21"/>
  <c r="V17" i="21"/>
  <c r="T18" i="21"/>
  <c r="U18" i="21"/>
  <c r="V18" i="21"/>
  <c r="T19" i="21"/>
  <c r="U19" i="21"/>
  <c r="V19" i="21"/>
  <c r="T20" i="21"/>
  <c r="U20" i="21"/>
  <c r="V20" i="21"/>
  <c r="T21" i="21"/>
  <c r="U21" i="21"/>
  <c r="V21" i="21"/>
  <c r="T22" i="21"/>
  <c r="U22" i="21"/>
  <c r="V22" i="21"/>
  <c r="T23" i="21"/>
  <c r="U23" i="21"/>
  <c r="V23" i="21"/>
  <c r="T24" i="21"/>
  <c r="U24" i="21"/>
  <c r="V24" i="21"/>
  <c r="T25" i="21"/>
  <c r="U25" i="21"/>
  <c r="V25" i="21"/>
  <c r="U9" i="21"/>
  <c r="V9" i="21"/>
  <c r="T9" i="21"/>
  <c r="U8" i="21"/>
  <c r="V8" i="21"/>
  <c r="W8" i="21"/>
  <c r="X8" i="21"/>
  <c r="Y8" i="21"/>
  <c r="Z8" i="21"/>
  <c r="AA8" i="21"/>
  <c r="T8" i="21"/>
  <c r="N23" i="21"/>
  <c r="M23" i="21"/>
  <c r="M22" i="21"/>
  <c r="M19" i="21"/>
  <c r="N18" i="21"/>
  <c r="M18" i="21"/>
  <c r="N17" i="21"/>
  <c r="M17" i="21"/>
  <c r="M16" i="21"/>
  <c r="M10" i="21"/>
  <c r="M11" i="21"/>
  <c r="M12" i="21"/>
  <c r="M13" i="21"/>
  <c r="M9" i="21"/>
  <c r="N7" i="21"/>
  <c r="N10" i="21" s="1"/>
  <c r="W20" i="21"/>
  <c r="X20" i="21"/>
  <c r="Y20" i="21"/>
  <c r="Z20" i="21"/>
  <c r="AA20" i="21"/>
  <c r="J9" i="21"/>
  <c r="K9" i="21"/>
  <c r="J10" i="21"/>
  <c r="K10" i="21"/>
  <c r="J11" i="21"/>
  <c r="K11" i="21"/>
  <c r="J12" i="21"/>
  <c r="K12" i="21"/>
  <c r="J13" i="21"/>
  <c r="K13" i="21"/>
  <c r="J14" i="21"/>
  <c r="Z14" i="21" s="1"/>
  <c r="K14" i="21"/>
  <c r="AA14" i="21" s="1"/>
  <c r="J15" i="21"/>
  <c r="Z15" i="21" s="1"/>
  <c r="K15" i="21"/>
  <c r="AA15" i="21" s="1"/>
  <c r="J16" i="21"/>
  <c r="K16" i="21"/>
  <c r="J17" i="21"/>
  <c r="K17" i="21"/>
  <c r="J18" i="21"/>
  <c r="K18" i="21"/>
  <c r="J19" i="21"/>
  <c r="K19" i="21"/>
  <c r="J21" i="21"/>
  <c r="Z21" i="21" s="1"/>
  <c r="K21" i="21"/>
  <c r="AA21" i="21" s="1"/>
  <c r="J22" i="21"/>
  <c r="K22" i="21"/>
  <c r="J23" i="21"/>
  <c r="K23" i="21"/>
  <c r="J24" i="21"/>
  <c r="Z24" i="21" s="1"/>
  <c r="K24" i="21"/>
  <c r="AA24" i="21" s="1"/>
  <c r="J25" i="21"/>
  <c r="K25" i="21"/>
  <c r="D25" i="21"/>
  <c r="E25" i="21"/>
  <c r="F25" i="21"/>
  <c r="G25" i="21"/>
  <c r="H25" i="21"/>
  <c r="I25" i="21"/>
  <c r="I24" i="21"/>
  <c r="Y24" i="21" s="1"/>
  <c r="H24" i="21"/>
  <c r="X24" i="21" s="1"/>
  <c r="G24" i="21"/>
  <c r="W24" i="21" s="1"/>
  <c r="F24" i="21"/>
  <c r="E24" i="21"/>
  <c r="D24" i="21"/>
  <c r="I23" i="21"/>
  <c r="H23" i="21"/>
  <c r="G23" i="21"/>
  <c r="F23" i="21"/>
  <c r="E23" i="21"/>
  <c r="D23" i="21"/>
  <c r="I22" i="21"/>
  <c r="H22" i="21"/>
  <c r="G22" i="21"/>
  <c r="F22" i="21"/>
  <c r="E22" i="21"/>
  <c r="D22" i="21"/>
  <c r="I21" i="21"/>
  <c r="Y21" i="21" s="1"/>
  <c r="H21" i="21"/>
  <c r="X21" i="21" s="1"/>
  <c r="G21" i="21"/>
  <c r="W21" i="21" s="1"/>
  <c r="F21" i="21"/>
  <c r="E21" i="21"/>
  <c r="D21" i="21"/>
  <c r="D10" i="21"/>
  <c r="E10" i="21"/>
  <c r="F10" i="21"/>
  <c r="G10" i="21"/>
  <c r="H10" i="21"/>
  <c r="I10" i="21"/>
  <c r="D11" i="21"/>
  <c r="E11" i="21"/>
  <c r="F11" i="21"/>
  <c r="G11" i="21"/>
  <c r="H11" i="21"/>
  <c r="I11" i="21"/>
  <c r="D12" i="21"/>
  <c r="E12" i="21"/>
  <c r="F12" i="21"/>
  <c r="G12" i="21"/>
  <c r="H12" i="21"/>
  <c r="I12" i="21"/>
  <c r="D13" i="21"/>
  <c r="E13" i="21"/>
  <c r="F13" i="21"/>
  <c r="G13" i="21"/>
  <c r="H13" i="21"/>
  <c r="I13" i="21"/>
  <c r="D14" i="21"/>
  <c r="E14" i="21"/>
  <c r="F14" i="21"/>
  <c r="G14" i="21"/>
  <c r="W14" i="21" s="1"/>
  <c r="H14" i="21"/>
  <c r="X14" i="21" s="1"/>
  <c r="I14" i="21"/>
  <c r="Y14" i="21" s="1"/>
  <c r="D15" i="21"/>
  <c r="E15" i="21"/>
  <c r="F15" i="21"/>
  <c r="G15" i="21"/>
  <c r="W15" i="21" s="1"/>
  <c r="H15" i="21"/>
  <c r="X15" i="21" s="1"/>
  <c r="I15" i="21"/>
  <c r="Y15" i="21" s="1"/>
  <c r="D16" i="21"/>
  <c r="E16" i="21"/>
  <c r="F16" i="21"/>
  <c r="G16" i="21"/>
  <c r="H16" i="21"/>
  <c r="I16" i="21"/>
  <c r="D17" i="21"/>
  <c r="E17" i="21"/>
  <c r="F17" i="21"/>
  <c r="G17" i="21"/>
  <c r="H17" i="21"/>
  <c r="I17" i="21"/>
  <c r="D18" i="21"/>
  <c r="E18" i="21"/>
  <c r="F18" i="21"/>
  <c r="G18" i="21"/>
  <c r="H18" i="21"/>
  <c r="I18" i="21"/>
  <c r="D19" i="21"/>
  <c r="E19" i="21"/>
  <c r="F19" i="21"/>
  <c r="G19" i="21"/>
  <c r="H19" i="21"/>
  <c r="I19" i="21"/>
  <c r="E9" i="21"/>
  <c r="F9" i="21"/>
  <c r="G9" i="21"/>
  <c r="H9" i="21"/>
  <c r="I9" i="21"/>
  <c r="D9" i="21"/>
  <c r="A7" i="23"/>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 i="23"/>
  <c r="A4" i="23"/>
  <c r="A5" i="23" s="1"/>
  <c r="A6" i="23" s="1"/>
  <c r="A2" i="23"/>
  <c r="N11" i="21"/>
  <c r="N12" i="21"/>
  <c r="N13" i="21"/>
  <c r="N9" i="21"/>
  <c r="D7" i="4" l="1"/>
  <c r="D8" i="4"/>
  <c r="D9" i="4"/>
  <c r="E5" i="4"/>
  <c r="D15" i="4"/>
  <c r="D11" i="4"/>
  <c r="D10" i="4"/>
  <c r="AB1" i="10"/>
  <c r="W17" i="21"/>
  <c r="N16" i="21"/>
  <c r="W16" i="21" s="1"/>
  <c r="N22" i="21"/>
  <c r="W22" i="21" s="1"/>
  <c r="N19" i="21"/>
  <c r="W19" i="21" s="1"/>
  <c r="W13" i="21"/>
  <c r="W18" i="21"/>
  <c r="W12" i="21"/>
  <c r="W10" i="21"/>
  <c r="W11" i="21"/>
  <c r="W9" i="21"/>
  <c r="W23" i="21"/>
  <c r="O7" i="21"/>
  <c r="O9" i="21"/>
  <c r="X9" i="21" s="1"/>
  <c r="F5" i="4" l="1"/>
  <c r="E11" i="4"/>
  <c r="E15" i="4"/>
  <c r="D15" i="5" s="1"/>
  <c r="D46" i="5" s="1"/>
  <c r="E10" i="4"/>
  <c r="E9" i="4"/>
  <c r="E8" i="4"/>
  <c r="E7" i="4"/>
  <c r="D7" i="5" s="1"/>
  <c r="D38" i="5" s="1"/>
  <c r="E13" i="4"/>
  <c r="E12" i="4" s="1"/>
  <c r="AC1" i="10"/>
  <c r="O19" i="21"/>
  <c r="O18" i="21"/>
  <c r="X18" i="21" s="1"/>
  <c r="O22" i="21"/>
  <c r="X22" i="21" s="1"/>
  <c r="O16" i="21"/>
  <c r="O23" i="21"/>
  <c r="O17" i="21"/>
  <c r="X17" i="21" s="1"/>
  <c r="X19" i="21"/>
  <c r="O11" i="21"/>
  <c r="X11" i="21" s="1"/>
  <c r="O12" i="21"/>
  <c r="X12" i="21" s="1"/>
  <c r="O13" i="21"/>
  <c r="X13" i="21" s="1"/>
  <c r="O10" i="21"/>
  <c r="X10" i="21" s="1"/>
  <c r="P7" i="21"/>
  <c r="X23" i="21"/>
  <c r="X16" i="21"/>
  <c r="Q7" i="21"/>
  <c r="P11" i="21"/>
  <c r="Y11" i="21" s="1"/>
  <c r="P13" i="21"/>
  <c r="P12" i="21"/>
  <c r="P9" i="21"/>
  <c r="AG21" i="1"/>
  <c r="AG18" i="1"/>
  <c r="AG12" i="1"/>
  <c r="AA32" i="9"/>
  <c r="AG22" i="1"/>
  <c r="AD50" i="9"/>
  <c r="AD32" i="9"/>
  <c r="AC32" i="9"/>
  <c r="AC50" i="9"/>
  <c r="AB50" i="9"/>
  <c r="AB32" i="9"/>
  <c r="AA50" i="9"/>
  <c r="Z2" i="9"/>
  <c r="Z32" i="9"/>
  <c r="Z50" i="9"/>
  <c r="Z2" i="7"/>
  <c r="AA2" i="7"/>
  <c r="AB2" i="7"/>
  <c r="AC2" i="7"/>
  <c r="AD2" i="7"/>
  <c r="AD2" i="5"/>
  <c r="AC2" i="5"/>
  <c r="AB2" i="5"/>
  <c r="AA2" i="5"/>
  <c r="Z2" i="5"/>
  <c r="AB2" i="4"/>
  <c r="AC2" i="4" s="1"/>
  <c r="AD2" i="4" s="1"/>
  <c r="AE2" i="4" s="1"/>
  <c r="AF2" i="4" s="1"/>
  <c r="AA2" i="9"/>
  <c r="AB2" i="9"/>
  <c r="AC2" i="9"/>
  <c r="AD2" i="9"/>
  <c r="AA3" i="8"/>
  <c r="AB3" i="8"/>
  <c r="AC3" i="8"/>
  <c r="AD3" i="8"/>
  <c r="AB1" i="8"/>
  <c r="AC1" i="8" s="1"/>
  <c r="AD1" i="8" s="1"/>
  <c r="C1" i="8"/>
  <c r="D1" i="8" s="1"/>
  <c r="E1" i="8" s="1"/>
  <c r="F1" i="8" s="1"/>
  <c r="G1" i="8" s="1"/>
  <c r="H1" i="8" s="1"/>
  <c r="I1" i="8" s="1"/>
  <c r="J1" i="8" s="1"/>
  <c r="K1" i="8" s="1"/>
  <c r="L1" i="8" s="1"/>
  <c r="M1" i="8" s="1"/>
  <c r="N1" i="8" s="1"/>
  <c r="O1" i="8" s="1"/>
  <c r="P1" i="8" s="1"/>
  <c r="Q1" i="8" s="1"/>
  <c r="R1" i="8" s="1"/>
  <c r="S1" i="8" s="1"/>
  <c r="T1" i="8" s="1"/>
  <c r="U1" i="8" s="1"/>
  <c r="V1" i="8" s="1"/>
  <c r="W1" i="8" s="1"/>
  <c r="X1" i="8" s="1"/>
  <c r="Y1" i="8" s="1"/>
  <c r="D1" i="2"/>
  <c r="E1" i="2"/>
  <c r="F1" i="2"/>
  <c r="G1" i="2"/>
  <c r="H1" i="2"/>
  <c r="I1" i="2"/>
  <c r="J1" i="2"/>
  <c r="K1" i="2"/>
  <c r="L1" i="2"/>
  <c r="M1" i="2"/>
  <c r="N1" i="2"/>
  <c r="O1" i="2"/>
  <c r="P1" i="2"/>
  <c r="Q1" i="2"/>
  <c r="R1" i="2"/>
  <c r="S1" i="2"/>
  <c r="T1" i="2"/>
  <c r="U1" i="2"/>
  <c r="V1" i="2"/>
  <c r="W1" i="2"/>
  <c r="X1" i="2"/>
  <c r="Y1" i="2"/>
  <c r="Z1" i="2"/>
  <c r="AA1" i="2"/>
  <c r="C1" i="2"/>
  <c r="S9" i="15"/>
  <c r="S39" i="15" s="1"/>
  <c r="A9" i="15"/>
  <c r="A39" i="15" s="1"/>
  <c r="S8" i="15"/>
  <c r="S40" i="15" s="1"/>
  <c r="A5" i="11"/>
  <c r="S7" i="15"/>
  <c r="S38" i="15" s="1"/>
  <c r="A7" i="15"/>
  <c r="A38" i="15" s="1"/>
  <c r="S6" i="15"/>
  <c r="S37" i="15" s="1"/>
  <c r="A3" i="11"/>
  <c r="C7" i="12"/>
  <c r="D7" i="12"/>
  <c r="E7" i="12"/>
  <c r="F7" i="12"/>
  <c r="G7" i="12"/>
  <c r="H7" i="12"/>
  <c r="I7" i="12"/>
  <c r="J7" i="12"/>
  <c r="K7" i="12"/>
  <c r="L7" i="12"/>
  <c r="M7" i="12"/>
  <c r="N7" i="12"/>
  <c r="O7" i="12"/>
  <c r="B7" i="12"/>
  <c r="C2" i="14"/>
  <c r="D2" i="14"/>
  <c r="E2" i="14"/>
  <c r="F2" i="14"/>
  <c r="G2" i="14"/>
  <c r="H2" i="14"/>
  <c r="I2" i="14"/>
  <c r="J2" i="14"/>
  <c r="K2" i="14"/>
  <c r="L2" i="14"/>
  <c r="M2" i="14"/>
  <c r="N2" i="14"/>
  <c r="O2" i="14"/>
  <c r="P2" i="14"/>
  <c r="Q2" i="14"/>
  <c r="R2" i="14"/>
  <c r="B2" i="14"/>
  <c r="S6" i="13"/>
  <c r="S37" i="13" s="1"/>
  <c r="S7" i="13"/>
  <c r="S38" i="13" s="1"/>
  <c r="S8" i="13"/>
  <c r="S40" i="13" s="1"/>
  <c r="S9" i="13"/>
  <c r="S39" i="13" s="1"/>
  <c r="R9" i="13"/>
  <c r="Q9" i="13"/>
  <c r="Q39" i="13" s="1"/>
  <c r="P9" i="13"/>
  <c r="P39" i="13"/>
  <c r="O9" i="13"/>
  <c r="O39" i="13" s="1"/>
  <c r="N9" i="13"/>
  <c r="M9" i="13"/>
  <c r="M39" i="13"/>
  <c r="L9" i="13"/>
  <c r="L39" i="13"/>
  <c r="K9" i="13"/>
  <c r="J9" i="13"/>
  <c r="J39" i="13" s="1"/>
  <c r="I9" i="13"/>
  <c r="H9" i="13"/>
  <c r="G9" i="13"/>
  <c r="G39" i="13" s="1"/>
  <c r="F9" i="13"/>
  <c r="F39" i="13" s="1"/>
  <c r="E9" i="13"/>
  <c r="D9" i="13"/>
  <c r="D39" i="13" s="1"/>
  <c r="C9" i="13"/>
  <c r="C39" i="13" s="1"/>
  <c r="R8" i="13"/>
  <c r="R10" i="13"/>
  <c r="Q8" i="13"/>
  <c r="P8" i="13"/>
  <c r="P40" i="13" s="1"/>
  <c r="O8" i="13"/>
  <c r="O10" i="13"/>
  <c r="N8" i="13"/>
  <c r="N10" i="13" s="1"/>
  <c r="M8" i="13"/>
  <c r="M40" i="13" s="1"/>
  <c r="L8" i="13"/>
  <c r="L10" i="13" s="1"/>
  <c r="K8" i="13"/>
  <c r="K40" i="13"/>
  <c r="J8" i="13"/>
  <c r="J10" i="13"/>
  <c r="I8" i="13"/>
  <c r="I40" i="13" s="1"/>
  <c r="H8" i="13"/>
  <c r="H40" i="13" s="1"/>
  <c r="G8" i="13"/>
  <c r="G10" i="13"/>
  <c r="F8" i="13"/>
  <c r="E8" i="13"/>
  <c r="E40" i="13" s="1"/>
  <c r="D8" i="13"/>
  <c r="D10" i="13" s="1"/>
  <c r="C8" i="13"/>
  <c r="C40" i="13" s="1"/>
  <c r="Q7" i="13"/>
  <c r="Q38" i="13" s="1"/>
  <c r="P7" i="13"/>
  <c r="P38" i="13" s="1"/>
  <c r="O7" i="13"/>
  <c r="O38" i="13" s="1"/>
  <c r="N7" i="13"/>
  <c r="M7" i="13"/>
  <c r="M38" i="13" s="1"/>
  <c r="L7" i="13"/>
  <c r="L38" i="13" s="1"/>
  <c r="K7" i="13"/>
  <c r="K38" i="13" s="1"/>
  <c r="J7" i="13"/>
  <c r="J38" i="13"/>
  <c r="I7" i="13"/>
  <c r="I38" i="13" s="1"/>
  <c r="H7" i="13"/>
  <c r="H38" i="13" s="1"/>
  <c r="G7" i="13"/>
  <c r="G38" i="13" s="1"/>
  <c r="F7" i="13"/>
  <c r="E7" i="13"/>
  <c r="E38" i="13" s="1"/>
  <c r="D7" i="13"/>
  <c r="D38" i="13" s="1"/>
  <c r="C7" i="13"/>
  <c r="C38" i="13" s="1"/>
  <c r="R6" i="13"/>
  <c r="R37" i="13" s="1"/>
  <c r="Q6" i="13"/>
  <c r="Q37" i="13"/>
  <c r="P6" i="13"/>
  <c r="P37" i="13" s="1"/>
  <c r="O6" i="13"/>
  <c r="O37" i="13" s="1"/>
  <c r="N6" i="13"/>
  <c r="N37" i="13" s="1"/>
  <c r="M6" i="13"/>
  <c r="M37" i="13" s="1"/>
  <c r="L6" i="13"/>
  <c r="L37" i="13"/>
  <c r="K6" i="13"/>
  <c r="K37" i="13" s="1"/>
  <c r="J6" i="13"/>
  <c r="J37" i="13" s="1"/>
  <c r="I6" i="13"/>
  <c r="I37" i="13" s="1"/>
  <c r="H6" i="13"/>
  <c r="G6" i="13"/>
  <c r="G37" i="13" s="1"/>
  <c r="F6" i="13"/>
  <c r="F37" i="13" s="1"/>
  <c r="E6" i="13"/>
  <c r="E37" i="13" s="1"/>
  <c r="D6" i="13"/>
  <c r="D37" i="13" s="1"/>
  <c r="C6" i="13"/>
  <c r="C37" i="13" s="1"/>
  <c r="B9" i="13"/>
  <c r="B39" i="13"/>
  <c r="B8" i="13"/>
  <c r="B40" i="13" s="1"/>
  <c r="B7" i="13"/>
  <c r="B38" i="13"/>
  <c r="B6" i="13"/>
  <c r="B37" i="13" s="1"/>
  <c r="A7" i="13"/>
  <c r="A38" i="13" s="1"/>
  <c r="A40" i="13"/>
  <c r="A9" i="13"/>
  <c r="A39" i="13" s="1"/>
  <c r="A37" i="13"/>
  <c r="R39" i="13"/>
  <c r="H39" i="13"/>
  <c r="N39" i="13"/>
  <c r="I39" i="13"/>
  <c r="E39" i="13"/>
  <c r="R40" i="13"/>
  <c r="N40" i="13"/>
  <c r="J40" i="13"/>
  <c r="G40" i="13"/>
  <c r="F40" i="13"/>
  <c r="D40" i="13"/>
  <c r="N38" i="13"/>
  <c r="F38" i="13"/>
  <c r="H37" i="13"/>
  <c r="R4" i="12"/>
  <c r="R7" i="13" s="1"/>
  <c r="R38" i="13" s="1"/>
  <c r="Q4" i="12"/>
  <c r="P4" i="12"/>
  <c r="O4" i="12"/>
  <c r="N4" i="12"/>
  <c r="M4" i="12"/>
  <c r="L4" i="12"/>
  <c r="K4" i="12"/>
  <c r="J4" i="12"/>
  <c r="I4" i="12"/>
  <c r="H4" i="12"/>
  <c r="G4" i="12"/>
  <c r="F4" i="12"/>
  <c r="E4" i="12"/>
  <c r="D4" i="12"/>
  <c r="C4" i="12"/>
  <c r="B4" i="12"/>
  <c r="P10" i="13"/>
  <c r="H10" i="13"/>
  <c r="B10" i="13"/>
  <c r="C10" i="13"/>
  <c r="O40" i="13"/>
  <c r="E3" i="10"/>
  <c r="D3" i="10"/>
  <c r="C3" i="10"/>
  <c r="F3" i="10"/>
  <c r="B1" i="10"/>
  <c r="C1" i="10"/>
  <c r="E1" i="10"/>
  <c r="D1" i="10"/>
  <c r="F1" i="10"/>
  <c r="C2" i="11"/>
  <c r="D2" i="11"/>
  <c r="E2" i="11"/>
  <c r="F2" i="11"/>
  <c r="G2" i="11"/>
  <c r="H2" i="11"/>
  <c r="I2" i="11"/>
  <c r="J2" i="11"/>
  <c r="K2" i="11"/>
  <c r="L2" i="11"/>
  <c r="M2" i="11"/>
  <c r="N2" i="11"/>
  <c r="A7" i="9"/>
  <c r="AF7" i="9" s="1"/>
  <c r="A8" i="9"/>
  <c r="AF8" i="9" s="1"/>
  <c r="A9" i="9"/>
  <c r="AF9" i="9" s="1"/>
  <c r="A10" i="9"/>
  <c r="AF10" i="9" s="1"/>
  <c r="A11" i="9"/>
  <c r="AF11" i="9" s="1"/>
  <c r="A12" i="9"/>
  <c r="AF12" i="9" s="1"/>
  <c r="A13" i="9"/>
  <c r="AF13" i="9" s="1"/>
  <c r="A14" i="9"/>
  <c r="AF14" i="9" s="1"/>
  <c r="A15" i="9"/>
  <c r="AF15" i="9" s="1"/>
  <c r="A7" i="7"/>
  <c r="A8" i="7"/>
  <c r="A9" i="7"/>
  <c r="A10" i="7"/>
  <c r="A11" i="7"/>
  <c r="A12" i="7"/>
  <c r="A13" i="7"/>
  <c r="A14" i="7"/>
  <c r="A15" i="7"/>
  <c r="A7" i="5"/>
  <c r="A38" i="5" s="1"/>
  <c r="A55" i="5" s="1"/>
  <c r="A8" i="5"/>
  <c r="A39" i="5" s="1"/>
  <c r="A56" i="5" s="1"/>
  <c r="A9" i="5"/>
  <c r="A40" i="5" s="1"/>
  <c r="A57" i="5" s="1"/>
  <c r="A10" i="5"/>
  <c r="A41" i="5" s="1"/>
  <c r="A58" i="5" s="1"/>
  <c r="A11" i="5"/>
  <c r="A42" i="5" s="1"/>
  <c r="A59" i="5" s="1"/>
  <c r="A12" i="5"/>
  <c r="A43" i="5" s="1"/>
  <c r="A60" i="5" s="1"/>
  <c r="A13" i="5"/>
  <c r="A44" i="5" s="1"/>
  <c r="A61" i="5" s="1"/>
  <c r="A14" i="5"/>
  <c r="A45" i="5" s="1"/>
  <c r="A62" i="5" s="1"/>
  <c r="A15" i="5"/>
  <c r="A46" i="5" s="1"/>
  <c r="A63" i="5" s="1"/>
  <c r="B6" i="4"/>
  <c r="Z3" i="8"/>
  <c r="Y3" i="8"/>
  <c r="X3" i="8"/>
  <c r="W3" i="8"/>
  <c r="V3" i="8"/>
  <c r="U3" i="8"/>
  <c r="O3" i="14" s="1"/>
  <c r="O6" i="15" s="1"/>
  <c r="T3" i="8"/>
  <c r="S3" i="8"/>
  <c r="R3" i="8"/>
  <c r="Q3" i="8"/>
  <c r="P3" i="8"/>
  <c r="J3" i="14" s="1"/>
  <c r="J6" i="15" s="1"/>
  <c r="J37" i="15" s="1"/>
  <c r="O3" i="8"/>
  <c r="N3" i="8"/>
  <c r="M3" i="8"/>
  <c r="L3" i="8"/>
  <c r="K3" i="8"/>
  <c r="E3" i="14" s="1"/>
  <c r="E6" i="15" s="1"/>
  <c r="E37" i="15" s="1"/>
  <c r="J3" i="8"/>
  <c r="I3" i="8"/>
  <c r="C4" i="14" s="1"/>
  <c r="C7" i="15" s="1"/>
  <c r="C38" i="15" s="1"/>
  <c r="H3" i="8"/>
  <c r="B5" i="14" s="1"/>
  <c r="B8" i="15" s="1"/>
  <c r="B40" i="15" s="1"/>
  <c r="G3" i="8"/>
  <c r="F3" i="8"/>
  <c r="E3" i="8"/>
  <c r="D3" i="8"/>
  <c r="C3" i="8"/>
  <c r="B3" i="8"/>
  <c r="W22" i="1"/>
  <c r="C9" i="5"/>
  <c r="C40" i="5" s="1"/>
  <c r="B11" i="5"/>
  <c r="B42" i="5" s="1"/>
  <c r="K3" i="14"/>
  <c r="K6" i="15" s="1"/>
  <c r="K37" i="15" s="1"/>
  <c r="K7" i="14"/>
  <c r="K10" i="15" s="1"/>
  <c r="C6" i="14"/>
  <c r="C9" i="15" s="1"/>
  <c r="C39" i="15" s="1"/>
  <c r="C5" i="14"/>
  <c r="C8" i="15" s="1"/>
  <c r="C40" i="15" s="1"/>
  <c r="O7" i="14"/>
  <c r="O10" i="15" s="1"/>
  <c r="O5" i="14"/>
  <c r="O8" i="15" s="1"/>
  <c r="O40" i="15" s="1"/>
  <c r="O4" i="14"/>
  <c r="O7" i="15" s="1"/>
  <c r="G7" i="14"/>
  <c r="G10" i="15" s="1"/>
  <c r="G6" i="14"/>
  <c r="G9" i="15" s="1"/>
  <c r="G39" i="15" s="1"/>
  <c r="G4" i="14"/>
  <c r="G7" i="15" s="1"/>
  <c r="G38" i="15" s="1"/>
  <c r="A44" i="9"/>
  <c r="A61" i="9" s="1"/>
  <c r="A10" i="20"/>
  <c r="Z24" i="9"/>
  <c r="AD24" i="9"/>
  <c r="A6" i="20"/>
  <c r="Z25" i="9"/>
  <c r="AD25" i="9" s="1"/>
  <c r="Z28" i="9"/>
  <c r="D10" i="5"/>
  <c r="D41" i="5" s="1"/>
  <c r="B7" i="5"/>
  <c r="B38" i="5" s="1"/>
  <c r="D8" i="5"/>
  <c r="D39" i="5" s="1"/>
  <c r="B10" i="5"/>
  <c r="B41" i="5" s="1"/>
  <c r="B9" i="5"/>
  <c r="B40" i="5" s="1"/>
  <c r="C11" i="5"/>
  <c r="C42" i="5" s="1"/>
  <c r="D9" i="5"/>
  <c r="D40" i="5" s="1"/>
  <c r="C8" i="5"/>
  <c r="C39" i="5" s="1"/>
  <c r="C15" i="5"/>
  <c r="C46" i="5" s="1"/>
  <c r="B15" i="5"/>
  <c r="B46" i="5" s="1"/>
  <c r="B63" i="5" s="1"/>
  <c r="B8" i="5"/>
  <c r="B39" i="5" s="1"/>
  <c r="C7" i="5"/>
  <c r="C38" i="5" s="1"/>
  <c r="C10" i="5"/>
  <c r="C41" i="5" s="1"/>
  <c r="D11" i="5"/>
  <c r="D42" i="5" s="1"/>
  <c r="D13" i="7"/>
  <c r="D13" i="9" s="1"/>
  <c r="D44" i="9" s="1"/>
  <c r="A40" i="9"/>
  <c r="A57" i="9" s="1"/>
  <c r="A38" i="9"/>
  <c r="A55" i="9" s="1"/>
  <c r="D13" i="5"/>
  <c r="D44" i="5" s="1"/>
  <c r="D12" i="7"/>
  <c r="D12" i="9" s="1"/>
  <c r="D43" i="9" s="1"/>
  <c r="C13" i="5"/>
  <c r="C44" i="5" s="1"/>
  <c r="C12" i="5"/>
  <c r="C43" i="5" s="1"/>
  <c r="G5" i="21"/>
  <c r="F5" i="21"/>
  <c r="I5" i="21"/>
  <c r="H5" i="21"/>
  <c r="E5" i="21"/>
  <c r="A4" i="20" l="1"/>
  <c r="A41" i="9"/>
  <c r="A58" i="9" s="1"/>
  <c r="A8" i="20"/>
  <c r="A44" i="20" s="1"/>
  <c r="D55" i="5"/>
  <c r="Z26" i="9"/>
  <c r="AD26" i="9" s="1"/>
  <c r="Z22" i="9"/>
  <c r="AD22" i="9" s="1"/>
  <c r="A43" i="9"/>
  <c r="A60" i="9" s="1"/>
  <c r="D61" i="5"/>
  <c r="A42" i="9"/>
  <c r="A59" i="9" s="1"/>
  <c r="A9" i="20"/>
  <c r="G5" i="4"/>
  <c r="G6" i="4" s="1"/>
  <c r="F6" i="7" s="1"/>
  <c r="F6" i="9" s="1"/>
  <c r="F37" i="9" s="1"/>
  <c r="F15" i="4"/>
  <c r="F9" i="4"/>
  <c r="E9" i="5" s="1"/>
  <c r="E40" i="5" s="1"/>
  <c r="F8" i="4"/>
  <c r="E8" i="5" s="1"/>
  <c r="E39" i="5" s="1"/>
  <c r="F7" i="4"/>
  <c r="F13" i="4"/>
  <c r="F10" i="4"/>
  <c r="F11" i="4"/>
  <c r="A6" i="5"/>
  <c r="A37" i="5" s="1"/>
  <c r="A54" i="5" s="1"/>
  <c r="F6" i="4"/>
  <c r="E6" i="4"/>
  <c r="E14" i="4" s="1"/>
  <c r="D6" i="4"/>
  <c r="D14" i="4" s="1"/>
  <c r="C60" i="5"/>
  <c r="C61" i="5"/>
  <c r="A6" i="7"/>
  <c r="C58" i="5"/>
  <c r="A6" i="9"/>
  <c r="AD21" i="9" s="1"/>
  <c r="A39" i="9"/>
  <c r="A56" i="9" s="1"/>
  <c r="A11" i="20"/>
  <c r="A12" i="20"/>
  <c r="A5" i="20"/>
  <c r="Z21" i="9"/>
  <c r="A45" i="20"/>
  <c r="A45" i="9"/>
  <c r="AD28" i="9"/>
  <c r="Z29" i="9"/>
  <c r="A46" i="9"/>
  <c r="A40" i="20"/>
  <c r="A42" i="20"/>
  <c r="A46" i="20"/>
  <c r="A7" i="20"/>
  <c r="Z23" i="9"/>
  <c r="AD23" i="9" s="1"/>
  <c r="L40" i="13"/>
  <c r="S10" i="15"/>
  <c r="K10" i="13"/>
  <c r="F10" i="13"/>
  <c r="Q10" i="13"/>
  <c r="I10" i="13"/>
  <c r="E10" i="13"/>
  <c r="M10" i="13"/>
  <c r="Q40" i="13"/>
  <c r="K39" i="13"/>
  <c r="S10" i="13"/>
  <c r="A4" i="11"/>
  <c r="A40" i="15"/>
  <c r="A37" i="15"/>
  <c r="A6" i="11"/>
  <c r="AD1" i="10"/>
  <c r="Z27" i="9"/>
  <c r="AD27" i="9" s="1"/>
  <c r="C6" i="4"/>
  <c r="B57" i="5"/>
  <c r="B58" i="5"/>
  <c r="B56" i="5"/>
  <c r="B55" i="5"/>
  <c r="B59" i="5"/>
  <c r="D59" i="5"/>
  <c r="D63" i="5"/>
  <c r="D57" i="5"/>
  <c r="C57" i="5"/>
  <c r="C55" i="5"/>
  <c r="D56" i="5"/>
  <c r="C63" i="5"/>
  <c r="C59" i="5"/>
  <c r="C56" i="5"/>
  <c r="D58" i="5"/>
  <c r="B12" i="5"/>
  <c r="B43" i="5" s="1"/>
  <c r="B60" i="5" s="1"/>
  <c r="E8" i="7"/>
  <c r="E8" i="9" s="1"/>
  <c r="E39" i="9" s="1"/>
  <c r="D9" i="7"/>
  <c r="D9" i="9" s="1"/>
  <c r="D40" i="9" s="1"/>
  <c r="B13" i="5"/>
  <c r="B44" i="5" s="1"/>
  <c r="B61" i="5" s="1"/>
  <c r="D12" i="5"/>
  <c r="D43" i="5" s="1"/>
  <c r="D60" i="5" s="1"/>
  <c r="C10" i="7"/>
  <c r="C10" i="9" s="1"/>
  <c r="C41" i="9" s="1"/>
  <c r="G5" i="14"/>
  <c r="G8" i="15" s="1"/>
  <c r="G40" i="15" s="1"/>
  <c r="E9" i="7"/>
  <c r="E9" i="9" s="1"/>
  <c r="E40" i="9" s="1"/>
  <c r="Q4" i="14"/>
  <c r="Q7" i="15" s="1"/>
  <c r="Q38" i="15" s="1"/>
  <c r="Q7" i="14"/>
  <c r="Q10" i="15" s="1"/>
  <c r="G3" i="14"/>
  <c r="G6" i="15" s="1"/>
  <c r="G37" i="15" s="1"/>
  <c r="O6" i="14"/>
  <c r="O9" i="15" s="1"/>
  <c r="O39" i="15" s="1"/>
  <c r="I6" i="14"/>
  <c r="I9" i="15" s="1"/>
  <c r="I39" i="15" s="1"/>
  <c r="P3" i="14"/>
  <c r="P6" i="15" s="1"/>
  <c r="P37" i="15" s="1"/>
  <c r="H7" i="14"/>
  <c r="H10" i="15" s="1"/>
  <c r="Q5" i="14"/>
  <c r="Q8" i="15" s="1"/>
  <c r="Q40" i="15" s="1"/>
  <c r="I7" i="14"/>
  <c r="I10" i="15" s="1"/>
  <c r="Q6" i="14"/>
  <c r="Q9" i="15" s="1"/>
  <c r="Q39" i="15" s="1"/>
  <c r="I3" i="14"/>
  <c r="I6" i="15" s="1"/>
  <c r="I37" i="15" s="1"/>
  <c r="I4" i="14"/>
  <c r="I7" i="15" s="1"/>
  <c r="I38" i="15" s="1"/>
  <c r="D4" i="14"/>
  <c r="D7" i="15" s="1"/>
  <c r="D38" i="15" s="1"/>
  <c r="Q3" i="14"/>
  <c r="Q6" i="15" s="1"/>
  <c r="Q37" i="15" s="1"/>
  <c r="I5" i="14"/>
  <c r="I8" i="15" s="1"/>
  <c r="I40" i="15" s="1"/>
  <c r="D5" i="14"/>
  <c r="D8" i="15" s="1"/>
  <c r="D40" i="15" s="1"/>
  <c r="B10" i="7"/>
  <c r="B10" i="9" s="1"/>
  <c r="B41" i="9" s="1"/>
  <c r="O37" i="15"/>
  <c r="F3" i="11"/>
  <c r="R7" i="14"/>
  <c r="R10" i="15" s="1"/>
  <c r="B8" i="7"/>
  <c r="B8" i="9" s="1"/>
  <c r="B39" i="9" s="1"/>
  <c r="C3" i="14"/>
  <c r="C6" i="15" s="1"/>
  <c r="C37" i="15" s="1"/>
  <c r="C8" i="7"/>
  <c r="C8" i="9" s="1"/>
  <c r="C39" i="9" s="1"/>
  <c r="L5" i="14"/>
  <c r="L8" i="15" s="1"/>
  <c r="K4" i="14"/>
  <c r="K7" i="15" s="1"/>
  <c r="K38" i="15" s="1"/>
  <c r="C7" i="14"/>
  <c r="C10" i="15" s="1"/>
  <c r="J5" i="14"/>
  <c r="J8" i="15" s="1"/>
  <c r="J40" i="15" s="1"/>
  <c r="B12" i="7"/>
  <c r="B12" i="9" s="1"/>
  <c r="B43" i="9" s="1"/>
  <c r="B13" i="7"/>
  <c r="B13" i="9" s="1"/>
  <c r="B44" i="9" s="1"/>
  <c r="L7" i="14"/>
  <c r="L10" i="15" s="1"/>
  <c r="K5" i="14"/>
  <c r="K8" i="15" s="1"/>
  <c r="K40" i="15" s="1"/>
  <c r="K6" i="14"/>
  <c r="K9" i="15" s="1"/>
  <c r="K39" i="15" s="1"/>
  <c r="B9" i="7"/>
  <c r="B9" i="9" s="1"/>
  <c r="B40" i="9" s="1"/>
  <c r="L6" i="14"/>
  <c r="L9" i="15" s="1"/>
  <c r="L39" i="15" s="1"/>
  <c r="R4" i="14"/>
  <c r="R7" i="15" s="1"/>
  <c r="J6" i="14"/>
  <c r="J9" i="15" s="1"/>
  <c r="J39" i="15" s="1"/>
  <c r="B3" i="14"/>
  <c r="B6" i="15" s="1"/>
  <c r="B37" i="15" s="1"/>
  <c r="L3" i="14"/>
  <c r="L6" i="15" s="1"/>
  <c r="D6" i="14"/>
  <c r="D9" i="15" s="1"/>
  <c r="D39" i="15" s="1"/>
  <c r="B11" i="7"/>
  <c r="B11" i="9" s="1"/>
  <c r="B42" i="9" s="1"/>
  <c r="B6" i="14"/>
  <c r="B9" i="15" s="1"/>
  <c r="B39" i="15" s="1"/>
  <c r="P4" i="14"/>
  <c r="P7" i="15" s="1"/>
  <c r="P38" i="15" s="1"/>
  <c r="H4" i="14"/>
  <c r="H7" i="15" s="1"/>
  <c r="H38" i="15" s="1"/>
  <c r="D7" i="14"/>
  <c r="D10" i="15" s="1"/>
  <c r="B7" i="7"/>
  <c r="B7" i="9" s="1"/>
  <c r="B38" i="9" s="1"/>
  <c r="B7" i="14"/>
  <c r="B10" i="15" s="1"/>
  <c r="P7" i="14"/>
  <c r="P10" i="15" s="1"/>
  <c r="H5" i="14"/>
  <c r="H8" i="15" s="1"/>
  <c r="H40" i="15" s="1"/>
  <c r="D3" i="14"/>
  <c r="D6" i="15" s="1"/>
  <c r="D37" i="15" s="1"/>
  <c r="R6" i="14"/>
  <c r="R9" i="15" s="1"/>
  <c r="J4" i="14"/>
  <c r="J7" i="15" s="1"/>
  <c r="J38" i="15" s="1"/>
  <c r="B15" i="7"/>
  <c r="B15" i="9" s="1"/>
  <c r="B46" i="9" s="1"/>
  <c r="B63" i="9" s="1"/>
  <c r="B4" i="14"/>
  <c r="B7" i="15" s="1"/>
  <c r="B38" i="15" s="1"/>
  <c r="R3" i="14"/>
  <c r="R6" i="15" s="1"/>
  <c r="J7" i="14"/>
  <c r="J10" i="15" s="1"/>
  <c r="L4" i="14"/>
  <c r="L7" i="15" s="1"/>
  <c r="L38" i="15" s="1"/>
  <c r="H3" i="14"/>
  <c r="H6" i="15" s="1"/>
  <c r="H37" i="15" s="1"/>
  <c r="R5" i="14"/>
  <c r="R8" i="15" s="1"/>
  <c r="R40" i="15" s="1"/>
  <c r="O38" i="15"/>
  <c r="C13" i="7"/>
  <c r="C13" i="9" s="1"/>
  <c r="C44" i="9" s="1"/>
  <c r="C15" i="7"/>
  <c r="C15" i="9" s="1"/>
  <c r="C46" i="9" s="1"/>
  <c r="C63" i="9" s="1"/>
  <c r="M3" i="14"/>
  <c r="M6" i="15" s="1"/>
  <c r="C12" i="7"/>
  <c r="C12" i="9" s="1"/>
  <c r="C43" i="9" s="1"/>
  <c r="G3" i="11"/>
  <c r="D7" i="7"/>
  <c r="D7" i="9" s="1"/>
  <c r="D38" i="9" s="1"/>
  <c r="D6" i="7"/>
  <c r="D6" i="9" s="1"/>
  <c r="D37" i="9" s="1"/>
  <c r="D10" i="7"/>
  <c r="D10" i="9" s="1"/>
  <c r="D41" i="9" s="1"/>
  <c r="D11" i="7"/>
  <c r="D11" i="9" s="1"/>
  <c r="D42" i="9" s="1"/>
  <c r="D15" i="7"/>
  <c r="D15" i="9" s="1"/>
  <c r="D46" i="9" s="1"/>
  <c r="D63" i="9" s="1"/>
  <c r="D8" i="7"/>
  <c r="D8" i="9" s="1"/>
  <c r="D39" i="9" s="1"/>
  <c r="F7" i="14"/>
  <c r="F10" i="15" s="1"/>
  <c r="F6" i="14"/>
  <c r="F9" i="15" s="1"/>
  <c r="F39" i="15" s="1"/>
  <c r="F5" i="14"/>
  <c r="F8" i="15" s="1"/>
  <c r="F40" i="15" s="1"/>
  <c r="F3" i="14"/>
  <c r="F6" i="15" s="1"/>
  <c r="F37" i="15" s="1"/>
  <c r="F4" i="14"/>
  <c r="F7" i="15" s="1"/>
  <c r="F38" i="15" s="1"/>
  <c r="N6" i="14"/>
  <c r="N9" i="15" s="1"/>
  <c r="N5" i="14"/>
  <c r="N8" i="15" s="1"/>
  <c r="N4" i="14"/>
  <c r="N7" i="15" s="1"/>
  <c r="N7" i="14"/>
  <c r="N10" i="15" s="1"/>
  <c r="N3" i="14"/>
  <c r="N6" i="15" s="1"/>
  <c r="M7" i="14"/>
  <c r="M10" i="15" s="1"/>
  <c r="H6" i="14"/>
  <c r="H9" i="15" s="1"/>
  <c r="H39" i="15" s="1"/>
  <c r="P6" i="14"/>
  <c r="P9" i="15" s="1"/>
  <c r="P5" i="14"/>
  <c r="P8" i="15" s="1"/>
  <c r="C9" i="7"/>
  <c r="C9" i="9" s="1"/>
  <c r="C40" i="9" s="1"/>
  <c r="C11" i="7"/>
  <c r="C11" i="9" s="1"/>
  <c r="C42" i="9" s="1"/>
  <c r="C7" i="7"/>
  <c r="C7" i="9" s="1"/>
  <c r="C38" i="9" s="1"/>
  <c r="E5" i="14"/>
  <c r="E8" i="15" s="1"/>
  <c r="E40" i="15" s="1"/>
  <c r="E7" i="14"/>
  <c r="E10" i="15" s="1"/>
  <c r="E4" i="14"/>
  <c r="E7" i="15" s="1"/>
  <c r="E38" i="15" s="1"/>
  <c r="E6" i="14"/>
  <c r="E9" i="15" s="1"/>
  <c r="E39" i="15" s="1"/>
  <c r="M6" i="14"/>
  <c r="M9" i="15" s="1"/>
  <c r="M5" i="14"/>
  <c r="M8" i="15" s="1"/>
  <c r="M4" i="14"/>
  <c r="M7" i="15" s="1"/>
  <c r="Q22" i="21"/>
  <c r="Q16" i="21"/>
  <c r="Q19" i="21"/>
  <c r="Q23" i="21"/>
  <c r="Q17" i="21"/>
  <c r="Q18" i="21"/>
  <c r="P22" i="21"/>
  <c r="P16" i="21"/>
  <c r="Y16" i="21" s="1"/>
  <c r="P19" i="21"/>
  <c r="Y19" i="21" s="1"/>
  <c r="P18" i="21"/>
  <c r="Y18" i="21" s="1"/>
  <c r="P23" i="21"/>
  <c r="Y23" i="21" s="1"/>
  <c r="P17" i="21"/>
  <c r="Y22" i="21"/>
  <c r="P10" i="21"/>
  <c r="Y13" i="21"/>
  <c r="Y9" i="21"/>
  <c r="Y17" i="21"/>
  <c r="Y12" i="21"/>
  <c r="R7" i="21"/>
  <c r="Q11" i="21"/>
  <c r="Q13" i="21"/>
  <c r="Q10" i="21"/>
  <c r="Q12" i="21"/>
  <c r="Q9" i="21"/>
  <c r="AG11" i="1"/>
  <c r="C6" i="7" l="1"/>
  <c r="C6" i="9" s="1"/>
  <c r="C37" i="9" s="1"/>
  <c r="F12" i="4"/>
  <c r="E13" i="5"/>
  <c r="E44" i="5" s="1"/>
  <c r="E13" i="7"/>
  <c r="E13" i="9" s="1"/>
  <c r="E44" i="9" s="1"/>
  <c r="E15" i="5"/>
  <c r="E46" i="5" s="1"/>
  <c r="E15" i="7"/>
  <c r="E15" i="9" s="1"/>
  <c r="E46" i="9" s="1"/>
  <c r="E63" i="9" s="1"/>
  <c r="E56" i="9"/>
  <c r="E10" i="7"/>
  <c r="E10" i="9" s="1"/>
  <c r="E41" i="9" s="1"/>
  <c r="E10" i="5"/>
  <c r="E41" i="5" s="1"/>
  <c r="E58" i="5" s="1"/>
  <c r="F14" i="4"/>
  <c r="E14" i="5" s="1"/>
  <c r="E45" i="5" s="1"/>
  <c r="E62" i="5" s="1"/>
  <c r="E7" i="5"/>
  <c r="E38" i="5" s="1"/>
  <c r="E55" i="5" s="1"/>
  <c r="E7" i="7"/>
  <c r="E7" i="9" s="1"/>
  <c r="E38" i="9" s="1"/>
  <c r="H5" i="4"/>
  <c r="G9" i="4"/>
  <c r="G8" i="4"/>
  <c r="G7" i="4"/>
  <c r="G13" i="4"/>
  <c r="G10" i="4"/>
  <c r="G11" i="4"/>
  <c r="G15" i="4"/>
  <c r="A3" i="20"/>
  <c r="A39" i="20" s="1"/>
  <c r="E11" i="7"/>
  <c r="E11" i="9" s="1"/>
  <c r="E42" i="9" s="1"/>
  <c r="E59" i="9" s="1"/>
  <c r="E11" i="5"/>
  <c r="E42" i="5" s="1"/>
  <c r="A37" i="9"/>
  <c r="A54" i="9" s="1"/>
  <c r="AD30" i="9"/>
  <c r="A63" i="9"/>
  <c r="A41" i="20"/>
  <c r="A48" i="20"/>
  <c r="A43" i="20"/>
  <c r="A62" i="9"/>
  <c r="AD29" i="9"/>
  <c r="A47" i="20"/>
  <c r="Q6" i="11"/>
  <c r="B6" i="11"/>
  <c r="D6" i="5"/>
  <c r="D37" i="5" s="1"/>
  <c r="D54" i="5" s="1"/>
  <c r="C14" i="4"/>
  <c r="B14" i="5" s="1"/>
  <c r="B45" i="5" s="1"/>
  <c r="B62" i="5" s="1"/>
  <c r="B6" i="5"/>
  <c r="B37" i="5" s="1"/>
  <c r="B54" i="5" s="1"/>
  <c r="B6" i="7"/>
  <c r="B6" i="9" s="1"/>
  <c r="B37" i="9" s="1"/>
  <c r="B54" i="9" s="1"/>
  <c r="C6" i="5"/>
  <c r="C37" i="5" s="1"/>
  <c r="C54" i="5" s="1"/>
  <c r="E6" i="7"/>
  <c r="E6" i="9" s="1"/>
  <c r="E37" i="9" s="1"/>
  <c r="E54" i="9" s="1"/>
  <c r="E6" i="5"/>
  <c r="E37" i="5" s="1"/>
  <c r="E54" i="5" s="1"/>
  <c r="F6" i="5"/>
  <c r="F37" i="5" s="1"/>
  <c r="D14" i="5"/>
  <c r="D45" i="5" s="1"/>
  <c r="D62" i="5" s="1"/>
  <c r="D14" i="7"/>
  <c r="D14" i="9" s="1"/>
  <c r="D45" i="9" s="1"/>
  <c r="D62" i="9" s="1"/>
  <c r="E14" i="7"/>
  <c r="E14" i="9" s="1"/>
  <c r="E45" i="9" s="1"/>
  <c r="E62" i="9" s="1"/>
  <c r="Q3" i="11"/>
  <c r="C58" i="9"/>
  <c r="D61" i="9"/>
  <c r="C55" i="9"/>
  <c r="B5" i="11"/>
  <c r="L40" i="15"/>
  <c r="C54" i="9"/>
  <c r="C61" i="9"/>
  <c r="C59" i="9"/>
  <c r="D55" i="9"/>
  <c r="C60" i="9"/>
  <c r="C57" i="9"/>
  <c r="B60" i="9"/>
  <c r="L37" i="15"/>
  <c r="B3" i="11"/>
  <c r="H3" i="11"/>
  <c r="R37" i="15"/>
  <c r="P3" i="11"/>
  <c r="Q5" i="11"/>
  <c r="R39" i="15"/>
  <c r="P6" i="11"/>
  <c r="B61" i="9"/>
  <c r="H6" i="11"/>
  <c r="R38" i="15"/>
  <c r="P4" i="11"/>
  <c r="H4" i="11"/>
  <c r="D56" i="9"/>
  <c r="P5" i="11"/>
  <c r="B58" i="9"/>
  <c r="B55" i="9"/>
  <c r="B56" i="9"/>
  <c r="D59" i="9"/>
  <c r="H5" i="11"/>
  <c r="F4" i="11"/>
  <c r="B57" i="9"/>
  <c r="Q4" i="11"/>
  <c r="B4" i="11"/>
  <c r="B59" i="9"/>
  <c r="G4" i="11"/>
  <c r="M37" i="15"/>
  <c r="C3" i="11"/>
  <c r="D54" i="9"/>
  <c r="D60" i="9"/>
  <c r="C56" i="9"/>
  <c r="M40" i="15"/>
  <c r="C5" i="11"/>
  <c r="E6" i="11"/>
  <c r="D6" i="11"/>
  <c r="N39" i="15"/>
  <c r="M39" i="15"/>
  <c r="C6" i="11"/>
  <c r="C4" i="11"/>
  <c r="M38" i="15"/>
  <c r="P40" i="15"/>
  <c r="F5" i="11"/>
  <c r="D4" i="11"/>
  <c r="E4" i="11"/>
  <c r="N38" i="15"/>
  <c r="D58" i="9"/>
  <c r="G5" i="11"/>
  <c r="D57" i="9"/>
  <c r="F6" i="11"/>
  <c r="G6" i="11"/>
  <c r="P39" i="15"/>
  <c r="D5" i="11"/>
  <c r="E5" i="11"/>
  <c r="N40" i="15"/>
  <c r="D3" i="11"/>
  <c r="E3" i="11"/>
  <c r="N37" i="15"/>
  <c r="R23" i="21"/>
  <c r="R17" i="21"/>
  <c r="R19" i="21"/>
  <c r="R16" i="21"/>
  <c r="R18" i="21"/>
  <c r="R22" i="21"/>
  <c r="Z22" i="21"/>
  <c r="Z12" i="21"/>
  <c r="Z16" i="21"/>
  <c r="Z23" i="21"/>
  <c r="Z18" i="21"/>
  <c r="Z9" i="21"/>
  <c r="Z17" i="21"/>
  <c r="Z19" i="21"/>
  <c r="Y10" i="21"/>
  <c r="Z10" i="21"/>
  <c r="Z13" i="21"/>
  <c r="Z11" i="21"/>
  <c r="R12" i="21"/>
  <c r="R9" i="21"/>
  <c r="R11" i="21"/>
  <c r="R13" i="21"/>
  <c r="R10" i="21"/>
  <c r="E57" i="9" l="1"/>
  <c r="E59" i="5"/>
  <c r="E55" i="9"/>
  <c r="E61" i="9"/>
  <c r="F15" i="5"/>
  <c r="F46" i="5" s="1"/>
  <c r="F63" i="5" s="1"/>
  <c r="F15" i="7"/>
  <c r="F15" i="9" s="1"/>
  <c r="F46" i="9" s="1"/>
  <c r="G14" i="4"/>
  <c r="F14" i="7" s="1"/>
  <c r="F14" i="9" s="1"/>
  <c r="F45" i="9" s="1"/>
  <c r="F62" i="9" s="1"/>
  <c r="F13" i="5"/>
  <c r="F44" i="5" s="1"/>
  <c r="F13" i="7"/>
  <c r="F13" i="9" s="1"/>
  <c r="F44" i="9" s="1"/>
  <c r="G12" i="4"/>
  <c r="I5" i="4"/>
  <c r="H13" i="4"/>
  <c r="H10" i="4"/>
  <c r="H11" i="4"/>
  <c r="H9" i="4"/>
  <c r="H15" i="4"/>
  <c r="H8" i="4"/>
  <c r="H7" i="4"/>
  <c r="H6" i="4"/>
  <c r="F10" i="5"/>
  <c r="F41" i="5" s="1"/>
  <c r="F58" i="5" s="1"/>
  <c r="F10" i="7"/>
  <c r="F10" i="9" s="1"/>
  <c r="F41" i="9" s="1"/>
  <c r="F9" i="5"/>
  <c r="F40" i="5" s="1"/>
  <c r="F57" i="5" s="1"/>
  <c r="F9" i="7"/>
  <c r="F9" i="9" s="1"/>
  <c r="F40" i="9" s="1"/>
  <c r="F57" i="9" s="1"/>
  <c r="E58" i="9"/>
  <c r="F11" i="5"/>
  <c r="F42" i="5" s="1"/>
  <c r="F59" i="5" s="1"/>
  <c r="F11" i="7"/>
  <c r="F11" i="9" s="1"/>
  <c r="F42" i="9" s="1"/>
  <c r="F59" i="9" s="1"/>
  <c r="F7" i="5"/>
  <c r="F38" i="5" s="1"/>
  <c r="F55" i="5" s="1"/>
  <c r="F7" i="7"/>
  <c r="F7" i="9" s="1"/>
  <c r="F38" i="9" s="1"/>
  <c r="E61" i="5"/>
  <c r="F54" i="5"/>
  <c r="F8" i="5"/>
  <c r="F39" i="5" s="1"/>
  <c r="F56" i="5" s="1"/>
  <c r="F8" i="7"/>
  <c r="F8" i="9" s="1"/>
  <c r="F39" i="9" s="1"/>
  <c r="E56" i="5"/>
  <c r="E57" i="5"/>
  <c r="E63" i="5"/>
  <c r="E12" i="5"/>
  <c r="E43" i="5" s="1"/>
  <c r="E60" i="5" s="1"/>
  <c r="E12" i="7"/>
  <c r="E12" i="9" s="1"/>
  <c r="E43" i="9" s="1"/>
  <c r="E60" i="9" s="1"/>
  <c r="B14" i="7"/>
  <c r="B14" i="9" s="1"/>
  <c r="B45" i="9" s="1"/>
  <c r="B62" i="9" s="1"/>
  <c r="C14" i="5"/>
  <c r="C45" i="5" s="1"/>
  <c r="C62" i="5" s="1"/>
  <c r="C14" i="7"/>
  <c r="C14" i="9" s="1"/>
  <c r="C45" i="9" s="1"/>
  <c r="C62" i="9" s="1"/>
  <c r="D48" i="20"/>
  <c r="D46" i="20"/>
  <c r="AA10" i="21"/>
  <c r="AA17" i="21"/>
  <c r="AG14" i="1" s="1"/>
  <c r="AA22" i="21"/>
  <c r="AG19" i="1" s="1"/>
  <c r="AA19" i="21"/>
  <c r="AG16" i="1" s="1"/>
  <c r="AA12" i="21"/>
  <c r="AA13" i="21"/>
  <c r="AG10" i="1" s="1"/>
  <c r="AA23" i="21"/>
  <c r="AA16" i="21"/>
  <c r="AA11" i="21"/>
  <c r="AG8" i="1" s="1"/>
  <c r="AA18" i="21"/>
  <c r="AG15" i="1" s="1"/>
  <c r="AA9" i="21"/>
  <c r="D42" i="20"/>
  <c r="F14" i="5" l="1"/>
  <c r="F45" i="5" s="1"/>
  <c r="F62" i="5" s="1"/>
  <c r="H14" i="4"/>
  <c r="G6" i="7"/>
  <c r="G6" i="9" s="1"/>
  <c r="G37" i="9" s="1"/>
  <c r="G6" i="5"/>
  <c r="G37" i="5" s="1"/>
  <c r="G11" i="5"/>
  <c r="G42" i="5" s="1"/>
  <c r="G11" i="7"/>
  <c r="G11" i="9" s="1"/>
  <c r="G42" i="9" s="1"/>
  <c r="F63" i="9"/>
  <c r="F54" i="9"/>
  <c r="F55" i="9"/>
  <c r="G15" i="5"/>
  <c r="G46" i="5" s="1"/>
  <c r="G63" i="5" s="1"/>
  <c r="G15" i="7"/>
  <c r="G15" i="9" s="1"/>
  <c r="G46" i="9" s="1"/>
  <c r="G63" i="9" s="1"/>
  <c r="H12" i="4"/>
  <c r="G13" i="5"/>
  <c r="G44" i="5" s="1"/>
  <c r="G13" i="7"/>
  <c r="G13" i="9" s="1"/>
  <c r="G44" i="9" s="1"/>
  <c r="F61" i="5"/>
  <c r="G9" i="5"/>
  <c r="G40" i="5" s="1"/>
  <c r="G9" i="7"/>
  <c r="G9" i="9" s="1"/>
  <c r="G40" i="9" s="1"/>
  <c r="J5" i="4"/>
  <c r="I11" i="4"/>
  <c r="I15" i="4"/>
  <c r="I9" i="4"/>
  <c r="I8" i="4"/>
  <c r="I7" i="4"/>
  <c r="I13" i="4"/>
  <c r="I10" i="4"/>
  <c r="I6" i="4"/>
  <c r="G7" i="5"/>
  <c r="G38" i="5" s="1"/>
  <c r="G7" i="7"/>
  <c r="G7" i="9" s="1"/>
  <c r="G38" i="9" s="1"/>
  <c r="F12" i="5"/>
  <c r="F43" i="5" s="1"/>
  <c r="F60" i="5" s="1"/>
  <c r="F12" i="7"/>
  <c r="F12" i="9" s="1"/>
  <c r="F43" i="9" s="1"/>
  <c r="F60" i="9" s="1"/>
  <c r="F56" i="9"/>
  <c r="F58" i="9"/>
  <c r="G8" i="5"/>
  <c r="G39" i="5" s="1"/>
  <c r="G8" i="7"/>
  <c r="G8" i="9" s="1"/>
  <c r="G39" i="9" s="1"/>
  <c r="G10" i="5"/>
  <c r="G41" i="5" s="1"/>
  <c r="G10" i="7"/>
  <c r="G10" i="9" s="1"/>
  <c r="G41" i="9" s="1"/>
  <c r="F61" i="9"/>
  <c r="AG6" i="1"/>
  <c r="AG7" i="1"/>
  <c r="AG9" i="1"/>
  <c r="AG20" i="1"/>
  <c r="AG13" i="1"/>
  <c r="G58" i="9" l="1"/>
  <c r="G55" i="9"/>
  <c r="G61" i="9"/>
  <c r="G59" i="9"/>
  <c r="G56" i="9"/>
  <c r="G57" i="9"/>
  <c r="H6" i="7"/>
  <c r="H6" i="9" s="1"/>
  <c r="H37" i="9" s="1"/>
  <c r="H6" i="5"/>
  <c r="H37" i="5" s="1"/>
  <c r="H8" i="5"/>
  <c r="H39" i="5" s="1"/>
  <c r="H8" i="7"/>
  <c r="H8" i="9" s="1"/>
  <c r="H39" i="9" s="1"/>
  <c r="K5" i="4"/>
  <c r="J15" i="4"/>
  <c r="J9" i="4"/>
  <c r="J8" i="4"/>
  <c r="J7" i="4"/>
  <c r="J13" i="4"/>
  <c r="J10" i="4"/>
  <c r="J11" i="4"/>
  <c r="J6" i="4"/>
  <c r="G14" i="5"/>
  <c r="G45" i="5" s="1"/>
  <c r="G62" i="5" s="1"/>
  <c r="G14" i="7"/>
  <c r="G14" i="9" s="1"/>
  <c r="G45" i="9" s="1"/>
  <c r="G62" i="9" s="1"/>
  <c r="G56" i="5"/>
  <c r="H10" i="5"/>
  <c r="H41" i="5" s="1"/>
  <c r="H10" i="7"/>
  <c r="H10" i="9" s="1"/>
  <c r="H41" i="9" s="1"/>
  <c r="H9" i="5"/>
  <c r="H40" i="5" s="1"/>
  <c r="H57" i="5" s="1"/>
  <c r="H9" i="7"/>
  <c r="H9" i="9" s="1"/>
  <c r="H40" i="9" s="1"/>
  <c r="G61" i="5"/>
  <c r="G59" i="5"/>
  <c r="I12" i="4"/>
  <c r="H13" i="5"/>
  <c r="H44" i="5" s="1"/>
  <c r="H13" i="7"/>
  <c r="H13" i="9" s="1"/>
  <c r="H44" i="9" s="1"/>
  <c r="H15" i="5"/>
  <c r="H46" i="5" s="1"/>
  <c r="H63" i="5" s="1"/>
  <c r="H15" i="7"/>
  <c r="H15" i="9" s="1"/>
  <c r="H46" i="9" s="1"/>
  <c r="H63" i="9" s="1"/>
  <c r="G57" i="5"/>
  <c r="G12" i="5"/>
  <c r="G43" i="5" s="1"/>
  <c r="G60" i="5" s="1"/>
  <c r="G12" i="7"/>
  <c r="G12" i="9" s="1"/>
  <c r="G43" i="9" s="1"/>
  <c r="G60" i="9" s="1"/>
  <c r="G54" i="5"/>
  <c r="G58" i="5"/>
  <c r="G55" i="5"/>
  <c r="H7" i="5"/>
  <c r="H38" i="5" s="1"/>
  <c r="H55" i="5" s="1"/>
  <c r="H7" i="7"/>
  <c r="H7" i="9" s="1"/>
  <c r="H38" i="9" s="1"/>
  <c r="H55" i="9" s="1"/>
  <c r="H11" i="5"/>
  <c r="H42" i="5" s="1"/>
  <c r="H11" i="7"/>
  <c r="H11" i="9" s="1"/>
  <c r="H42" i="9" s="1"/>
  <c r="G54" i="9"/>
  <c r="H56" i="5" l="1"/>
  <c r="I15" i="5"/>
  <c r="I46" i="5" s="1"/>
  <c r="I63" i="5" s="1"/>
  <c r="I15" i="7"/>
  <c r="I15" i="9" s="1"/>
  <c r="I46" i="9" s="1"/>
  <c r="H12" i="5"/>
  <c r="H43" i="5" s="1"/>
  <c r="H60" i="5" s="1"/>
  <c r="H12" i="7"/>
  <c r="H12" i="9" s="1"/>
  <c r="H43" i="9" s="1"/>
  <c r="H60" i="9" s="1"/>
  <c r="I9" i="5"/>
  <c r="I40" i="5" s="1"/>
  <c r="I57" i="5" s="1"/>
  <c r="I9" i="7"/>
  <c r="I9" i="9" s="1"/>
  <c r="I40" i="9" s="1"/>
  <c r="H58" i="9"/>
  <c r="J12" i="4"/>
  <c r="J14" i="4" s="1"/>
  <c r="I13" i="5"/>
  <c r="I44" i="5" s="1"/>
  <c r="I61" i="5" s="1"/>
  <c r="I13" i="7"/>
  <c r="I13" i="9" s="1"/>
  <c r="I44" i="9" s="1"/>
  <c r="H54" i="5"/>
  <c r="H59" i="9"/>
  <c r="H61" i="9"/>
  <c r="H58" i="5"/>
  <c r="I6" i="7"/>
  <c r="I6" i="9" s="1"/>
  <c r="I37" i="9" s="1"/>
  <c r="I6" i="5"/>
  <c r="I37" i="5" s="1"/>
  <c r="I54" i="5" s="1"/>
  <c r="I7" i="5"/>
  <c r="I38" i="5" s="1"/>
  <c r="I55" i="5" s="1"/>
  <c r="I7" i="7"/>
  <c r="I7" i="9" s="1"/>
  <c r="I38" i="9" s="1"/>
  <c r="L5" i="4"/>
  <c r="K9" i="4"/>
  <c r="K8" i="4"/>
  <c r="K7" i="4"/>
  <c r="K13" i="4"/>
  <c r="K10" i="4"/>
  <c r="K11" i="4"/>
  <c r="K15" i="4"/>
  <c r="K6" i="4"/>
  <c r="H54" i="9"/>
  <c r="I10" i="7"/>
  <c r="I10" i="9" s="1"/>
  <c r="I41" i="9" s="1"/>
  <c r="I10" i="5"/>
  <c r="I41" i="5" s="1"/>
  <c r="H59" i="5"/>
  <c r="H61" i="5"/>
  <c r="H57" i="9"/>
  <c r="I11" i="5"/>
  <c r="I42" i="5" s="1"/>
  <c r="I11" i="7"/>
  <c r="I11" i="9" s="1"/>
  <c r="I42" i="9" s="1"/>
  <c r="I8" i="7"/>
  <c r="I8" i="9" s="1"/>
  <c r="I39" i="9" s="1"/>
  <c r="I8" i="5"/>
  <c r="I39" i="5" s="1"/>
  <c r="I56" i="5" s="1"/>
  <c r="H56" i="9"/>
  <c r="I14" i="4"/>
  <c r="I59" i="5" l="1"/>
  <c r="I58" i="5"/>
  <c r="I55" i="9"/>
  <c r="H14" i="7"/>
  <c r="H14" i="9" s="1"/>
  <c r="H45" i="9" s="1"/>
  <c r="H62" i="9" s="1"/>
  <c r="H14" i="5"/>
  <c r="H45" i="5" s="1"/>
  <c r="H62" i="5" s="1"/>
  <c r="I59" i="9"/>
  <c r="J6" i="7"/>
  <c r="J6" i="9" s="1"/>
  <c r="J37" i="9" s="1"/>
  <c r="J6" i="5"/>
  <c r="J37" i="5" s="1"/>
  <c r="K12" i="4"/>
  <c r="K14" i="4" s="1"/>
  <c r="J13" i="5"/>
  <c r="J44" i="5" s="1"/>
  <c r="J13" i="7"/>
  <c r="J13" i="9" s="1"/>
  <c r="J44" i="9" s="1"/>
  <c r="M5" i="4"/>
  <c r="L13" i="4"/>
  <c r="L10" i="4"/>
  <c r="L11" i="4"/>
  <c r="L8" i="4"/>
  <c r="L7" i="4"/>
  <c r="L15" i="4"/>
  <c r="L9" i="4"/>
  <c r="L6" i="4"/>
  <c r="I54" i="9"/>
  <c r="I12" i="7"/>
  <c r="I12" i="9" s="1"/>
  <c r="I43" i="9" s="1"/>
  <c r="I60" i="9" s="1"/>
  <c r="I12" i="5"/>
  <c r="I43" i="5" s="1"/>
  <c r="I60" i="5" s="1"/>
  <c r="J15" i="5"/>
  <c r="J46" i="5" s="1"/>
  <c r="J63" i="5" s="1"/>
  <c r="J15" i="7"/>
  <c r="J15" i="9" s="1"/>
  <c r="J46" i="9" s="1"/>
  <c r="J63" i="9" s="1"/>
  <c r="I14" i="7"/>
  <c r="I14" i="9" s="1"/>
  <c r="I45" i="9" s="1"/>
  <c r="I62" i="9" s="1"/>
  <c r="I14" i="5"/>
  <c r="I45" i="5" s="1"/>
  <c r="I62" i="5" s="1"/>
  <c r="J11" i="5"/>
  <c r="J42" i="5" s="1"/>
  <c r="J59" i="5" s="1"/>
  <c r="J11" i="7"/>
  <c r="J11" i="9" s="1"/>
  <c r="J42" i="9" s="1"/>
  <c r="J59" i="9" s="1"/>
  <c r="I58" i="9"/>
  <c r="I63" i="9"/>
  <c r="J7" i="5"/>
  <c r="J38" i="5" s="1"/>
  <c r="J55" i="5" s="1"/>
  <c r="J7" i="7"/>
  <c r="J7" i="9" s="1"/>
  <c r="J38" i="9" s="1"/>
  <c r="J55" i="9" s="1"/>
  <c r="J8" i="5"/>
  <c r="J39" i="5" s="1"/>
  <c r="J8" i="7"/>
  <c r="J8" i="9" s="1"/>
  <c r="J39" i="9" s="1"/>
  <c r="J56" i="9" s="1"/>
  <c r="I61" i="9"/>
  <c r="I57" i="9"/>
  <c r="I56" i="9"/>
  <c r="J10" i="5"/>
  <c r="J41" i="5" s="1"/>
  <c r="J10" i="7"/>
  <c r="J10" i="9" s="1"/>
  <c r="J41" i="9" s="1"/>
  <c r="J9" i="5"/>
  <c r="J40" i="5" s="1"/>
  <c r="J9" i="7"/>
  <c r="J9" i="9" s="1"/>
  <c r="J40" i="9" s="1"/>
  <c r="J57" i="9" s="1"/>
  <c r="J58" i="9" l="1"/>
  <c r="J14" i="7"/>
  <c r="J14" i="9" s="1"/>
  <c r="J45" i="9" s="1"/>
  <c r="J62" i="9" s="1"/>
  <c r="J14" i="5"/>
  <c r="J45" i="5" s="1"/>
  <c r="J62" i="5" s="1"/>
  <c r="J56" i="5"/>
  <c r="K15" i="5"/>
  <c r="K46" i="5" s="1"/>
  <c r="K63" i="5" s="1"/>
  <c r="K15" i="7"/>
  <c r="K15" i="9" s="1"/>
  <c r="K46" i="9" s="1"/>
  <c r="K63" i="9" s="1"/>
  <c r="K10" i="5"/>
  <c r="K41" i="5" s="1"/>
  <c r="K58" i="5" s="1"/>
  <c r="K10" i="7"/>
  <c r="K10" i="9" s="1"/>
  <c r="K41" i="9" s="1"/>
  <c r="J61" i="5"/>
  <c r="K6" i="7"/>
  <c r="K6" i="9" s="1"/>
  <c r="K37" i="9" s="1"/>
  <c r="K6" i="5"/>
  <c r="K37" i="5" s="1"/>
  <c r="N5" i="4"/>
  <c r="M11" i="4"/>
  <c r="M15" i="4"/>
  <c r="M13" i="4"/>
  <c r="M9" i="4"/>
  <c r="M8" i="4"/>
  <c r="M7" i="4"/>
  <c r="M10" i="4"/>
  <c r="M6" i="4"/>
  <c r="J57" i="5"/>
  <c r="K7" i="5"/>
  <c r="K38" i="5" s="1"/>
  <c r="K55" i="5" s="1"/>
  <c r="K7" i="7"/>
  <c r="K7" i="9" s="1"/>
  <c r="K38" i="9" s="1"/>
  <c r="L12" i="4"/>
  <c r="L14" i="4" s="1"/>
  <c r="K13" i="5"/>
  <c r="K44" i="5" s="1"/>
  <c r="K61" i="5" s="1"/>
  <c r="K13" i="7"/>
  <c r="K13" i="9" s="1"/>
  <c r="K44" i="9" s="1"/>
  <c r="J12" i="5"/>
  <c r="J43" i="5" s="1"/>
  <c r="J60" i="5" s="1"/>
  <c r="J12" i="7"/>
  <c r="J12" i="9" s="1"/>
  <c r="J43" i="9" s="1"/>
  <c r="J60" i="9" s="1"/>
  <c r="K8" i="7"/>
  <c r="K8" i="9" s="1"/>
  <c r="K39" i="9" s="1"/>
  <c r="K56" i="9" s="1"/>
  <c r="K8" i="5"/>
  <c r="K39" i="5" s="1"/>
  <c r="K56" i="5" s="1"/>
  <c r="J54" i="5"/>
  <c r="J58" i="5"/>
  <c r="K9" i="5"/>
  <c r="K40" i="5" s="1"/>
  <c r="K57" i="5" s="1"/>
  <c r="K9" i="7"/>
  <c r="K9" i="9" s="1"/>
  <c r="K40" i="9" s="1"/>
  <c r="K11" i="5"/>
  <c r="K42" i="5" s="1"/>
  <c r="K59" i="5" s="1"/>
  <c r="K11" i="7"/>
  <c r="K11" i="9" s="1"/>
  <c r="K42" i="9" s="1"/>
  <c r="J61" i="9"/>
  <c r="J54" i="9"/>
  <c r="K55" i="9" l="1"/>
  <c r="K54" i="5"/>
  <c r="K58" i="9"/>
  <c r="L11" i="7"/>
  <c r="L11" i="9" s="1"/>
  <c r="L42" i="9" s="1"/>
  <c r="L11" i="5"/>
  <c r="L42" i="5" s="1"/>
  <c r="K14" i="5"/>
  <c r="K45" i="5" s="1"/>
  <c r="K62" i="5" s="1"/>
  <c r="K14" i="7"/>
  <c r="K14" i="9" s="1"/>
  <c r="K45" i="9" s="1"/>
  <c r="K62" i="9" s="1"/>
  <c r="K59" i="9"/>
  <c r="K12" i="5"/>
  <c r="K43" i="5" s="1"/>
  <c r="K60" i="5" s="1"/>
  <c r="K12" i="7"/>
  <c r="K12" i="9" s="1"/>
  <c r="K43" i="9" s="1"/>
  <c r="K60" i="9" s="1"/>
  <c r="L6" i="7"/>
  <c r="L6" i="9" s="1"/>
  <c r="L37" i="9" s="1"/>
  <c r="L54" i="9" s="1"/>
  <c r="L6" i="5"/>
  <c r="L37" i="5" s="1"/>
  <c r="L9" i="5"/>
  <c r="L40" i="5" s="1"/>
  <c r="L9" i="7"/>
  <c r="L9" i="9" s="1"/>
  <c r="L40" i="9" s="1"/>
  <c r="O5" i="4"/>
  <c r="N15" i="4"/>
  <c r="N9" i="4"/>
  <c r="N8" i="4"/>
  <c r="N7" i="4"/>
  <c r="N13" i="4"/>
  <c r="N10" i="4"/>
  <c r="N11" i="4"/>
  <c r="N6" i="4"/>
  <c r="L10" i="5"/>
  <c r="L41" i="5" s="1"/>
  <c r="L10" i="7"/>
  <c r="L10" i="9" s="1"/>
  <c r="L41" i="9" s="1"/>
  <c r="M12" i="4"/>
  <c r="M14" i="4" s="1"/>
  <c r="L13" i="5"/>
  <c r="L44" i="5" s="1"/>
  <c r="L61" i="5" s="1"/>
  <c r="L13" i="7"/>
  <c r="L13" i="9" s="1"/>
  <c r="L44" i="9" s="1"/>
  <c r="K57" i="9"/>
  <c r="K61" i="9"/>
  <c r="L7" i="5"/>
  <c r="L38" i="5" s="1"/>
  <c r="L55" i="5" s="1"/>
  <c r="L7" i="7"/>
  <c r="L7" i="9" s="1"/>
  <c r="L38" i="9" s="1"/>
  <c r="L15" i="5"/>
  <c r="L46" i="5" s="1"/>
  <c r="L63" i="5" s="1"/>
  <c r="L15" i="7"/>
  <c r="L15" i="9" s="1"/>
  <c r="L46" i="9" s="1"/>
  <c r="L63" i="9" s="1"/>
  <c r="K54" i="9"/>
  <c r="L8" i="5"/>
  <c r="L39" i="5" s="1"/>
  <c r="L8" i="7"/>
  <c r="L8" i="9" s="1"/>
  <c r="L39" i="9" s="1"/>
  <c r="L59" i="9" l="1"/>
  <c r="L14" i="5"/>
  <c r="L45" i="5" s="1"/>
  <c r="L62" i="5" s="1"/>
  <c r="L14" i="7"/>
  <c r="L14" i="9" s="1"/>
  <c r="L45" i="9" s="1"/>
  <c r="L62" i="9" s="1"/>
  <c r="M11" i="7"/>
  <c r="M11" i="9" s="1"/>
  <c r="M42" i="9" s="1"/>
  <c r="M11" i="5"/>
  <c r="M42" i="5" s="1"/>
  <c r="M8" i="7"/>
  <c r="M8" i="9" s="1"/>
  <c r="M39" i="9" s="1"/>
  <c r="M8" i="5"/>
  <c r="M39" i="5" s="1"/>
  <c r="L57" i="9"/>
  <c r="M7" i="7"/>
  <c r="M7" i="9" s="1"/>
  <c r="M38" i="9" s="1"/>
  <c r="M7" i="5"/>
  <c r="M38" i="5" s="1"/>
  <c r="L12" i="5"/>
  <c r="L43" i="5" s="1"/>
  <c r="L60" i="5" s="1"/>
  <c r="L12" i="7"/>
  <c r="L12" i="9" s="1"/>
  <c r="L43" i="9" s="1"/>
  <c r="L60" i="9" s="1"/>
  <c r="L56" i="9"/>
  <c r="L58" i="9"/>
  <c r="M10" i="7"/>
  <c r="M10" i="9" s="1"/>
  <c r="M41" i="9" s="1"/>
  <c r="M58" i="9" s="1"/>
  <c r="M10" i="5"/>
  <c r="M41" i="5" s="1"/>
  <c r="M9" i="5"/>
  <c r="M40" i="5" s="1"/>
  <c r="M9" i="7"/>
  <c r="M9" i="9" s="1"/>
  <c r="M40" i="9" s="1"/>
  <c r="M57" i="9" s="1"/>
  <c r="L57" i="5"/>
  <c r="L56" i="5"/>
  <c r="L55" i="9"/>
  <c r="L61" i="9"/>
  <c r="L58" i="5"/>
  <c r="N12" i="4"/>
  <c r="M13" i="5"/>
  <c r="M44" i="5" s="1"/>
  <c r="M13" i="7"/>
  <c r="M13" i="9" s="1"/>
  <c r="M44" i="9" s="1"/>
  <c r="M61" i="9" s="1"/>
  <c r="M15" i="5"/>
  <c r="M46" i="5" s="1"/>
  <c r="M63" i="5" s="1"/>
  <c r="M15" i="7"/>
  <c r="M15" i="9" s="1"/>
  <c r="M46" i="9" s="1"/>
  <c r="M63" i="9" s="1"/>
  <c r="L54" i="5"/>
  <c r="L59" i="5"/>
  <c r="N14" i="4"/>
  <c r="M6" i="7"/>
  <c r="M6" i="9" s="1"/>
  <c r="M37" i="9" s="1"/>
  <c r="M54" i="9" s="1"/>
  <c r="M6" i="5"/>
  <c r="M37" i="5" s="1"/>
  <c r="P5" i="4"/>
  <c r="O9" i="4"/>
  <c r="O8" i="4"/>
  <c r="O7" i="4"/>
  <c r="O13" i="4"/>
  <c r="O10" i="4"/>
  <c r="O11" i="4"/>
  <c r="O15" i="4"/>
  <c r="O6" i="4"/>
  <c r="M55" i="9" l="1"/>
  <c r="M14" i="5"/>
  <c r="M45" i="5" s="1"/>
  <c r="M62" i="5" s="1"/>
  <c r="M14" i="7"/>
  <c r="M14" i="9" s="1"/>
  <c r="M45" i="9" s="1"/>
  <c r="M62" i="9" s="1"/>
  <c r="N15" i="5"/>
  <c r="N46" i="5" s="1"/>
  <c r="N63" i="5" s="1"/>
  <c r="N15" i="7"/>
  <c r="N15" i="9" s="1"/>
  <c r="N46" i="9" s="1"/>
  <c r="N63" i="9" s="1"/>
  <c r="M54" i="5"/>
  <c r="M57" i="5"/>
  <c r="M59" i="5"/>
  <c r="N9" i="5"/>
  <c r="N40" i="5" s="1"/>
  <c r="N9" i="7"/>
  <c r="N9" i="9" s="1"/>
  <c r="N40" i="9" s="1"/>
  <c r="N57" i="9" s="1"/>
  <c r="N7" i="5"/>
  <c r="N38" i="5" s="1"/>
  <c r="N7" i="7"/>
  <c r="N7" i="9" s="1"/>
  <c r="N38" i="9" s="1"/>
  <c r="M61" i="5"/>
  <c r="N11" i="5"/>
  <c r="N42" i="5" s="1"/>
  <c r="N11" i="7"/>
  <c r="N11" i="9" s="1"/>
  <c r="N42" i="9" s="1"/>
  <c r="N59" i="9" s="1"/>
  <c r="N8" i="5"/>
  <c r="N39" i="5" s="1"/>
  <c r="N56" i="5" s="1"/>
  <c r="N8" i="7"/>
  <c r="N8" i="9" s="1"/>
  <c r="N39" i="9" s="1"/>
  <c r="N56" i="9" s="1"/>
  <c r="M12" i="7"/>
  <c r="M12" i="9" s="1"/>
  <c r="M43" i="9" s="1"/>
  <c r="M60" i="9" s="1"/>
  <c r="M12" i="5"/>
  <c r="M43" i="5" s="1"/>
  <c r="M60" i="5" s="1"/>
  <c r="M58" i="5"/>
  <c r="M59" i="9"/>
  <c r="N10" i="5"/>
  <c r="N41" i="5" s="1"/>
  <c r="N10" i="7"/>
  <c r="N10" i="9" s="1"/>
  <c r="N41" i="9" s="1"/>
  <c r="N58" i="9" s="1"/>
  <c r="M56" i="5"/>
  <c r="N6" i="7"/>
  <c r="N6" i="9" s="1"/>
  <c r="N37" i="9" s="1"/>
  <c r="N54" i="9" s="1"/>
  <c r="N6" i="5"/>
  <c r="N37" i="5" s="1"/>
  <c r="O12" i="4"/>
  <c r="O14" i="4" s="1"/>
  <c r="N13" i="5"/>
  <c r="N44" i="5" s="1"/>
  <c r="N13" i="7"/>
  <c r="N13" i="9" s="1"/>
  <c r="N44" i="9" s="1"/>
  <c r="N61" i="9" s="1"/>
  <c r="Q5" i="4"/>
  <c r="P13" i="4"/>
  <c r="P10" i="4"/>
  <c r="P11" i="4"/>
  <c r="P15" i="4"/>
  <c r="P9" i="4"/>
  <c r="P8" i="4"/>
  <c r="P7" i="4"/>
  <c r="P6" i="4"/>
  <c r="M55" i="5"/>
  <c r="M56" i="9"/>
  <c r="N55" i="9" l="1"/>
  <c r="N14" i="7"/>
  <c r="N14" i="9" s="1"/>
  <c r="N45" i="9" s="1"/>
  <c r="N62" i="9" s="1"/>
  <c r="N14" i="5"/>
  <c r="N45" i="5" s="1"/>
  <c r="N62" i="5" s="1"/>
  <c r="P12" i="4"/>
  <c r="O13" i="5"/>
  <c r="O44" i="5" s="1"/>
  <c r="O13" i="7"/>
  <c r="O13" i="9" s="1"/>
  <c r="O44" i="9" s="1"/>
  <c r="O7" i="5"/>
  <c r="O38" i="5" s="1"/>
  <c r="O7" i="7"/>
  <c r="O7" i="9" s="1"/>
  <c r="O38" i="9" s="1"/>
  <c r="N58" i="5"/>
  <c r="O8" i="5"/>
  <c r="O39" i="5" s="1"/>
  <c r="O56" i="5" s="1"/>
  <c r="O8" i="7"/>
  <c r="O8" i="9" s="1"/>
  <c r="O39" i="9" s="1"/>
  <c r="O10" i="5"/>
  <c r="O41" i="5" s="1"/>
  <c r="O10" i="7"/>
  <c r="O10" i="9" s="1"/>
  <c r="O41" i="9" s="1"/>
  <c r="N61" i="5"/>
  <c r="N57" i="5"/>
  <c r="O9" i="5"/>
  <c r="O40" i="5" s="1"/>
  <c r="O9" i="7"/>
  <c r="O9" i="9" s="1"/>
  <c r="O40" i="9" s="1"/>
  <c r="O6" i="7"/>
  <c r="O6" i="9" s="1"/>
  <c r="O37" i="9" s="1"/>
  <c r="O6" i="5"/>
  <c r="O37" i="5" s="1"/>
  <c r="O54" i="5" s="1"/>
  <c r="O15" i="5"/>
  <c r="O46" i="5" s="1"/>
  <c r="O63" i="5" s="1"/>
  <c r="O15" i="7"/>
  <c r="O15" i="9" s="1"/>
  <c r="O46" i="9" s="1"/>
  <c r="O63" i="9" s="1"/>
  <c r="R5" i="4"/>
  <c r="Q11" i="4"/>
  <c r="Q15" i="4"/>
  <c r="Q10" i="4"/>
  <c r="Q9" i="4"/>
  <c r="Q8" i="4"/>
  <c r="Q7" i="4"/>
  <c r="Q13" i="4"/>
  <c r="Q6" i="4"/>
  <c r="N54" i="5"/>
  <c r="N55" i="5"/>
  <c r="N12" i="5"/>
  <c r="N43" i="5" s="1"/>
  <c r="N60" i="5" s="1"/>
  <c r="N12" i="7"/>
  <c r="N12" i="9" s="1"/>
  <c r="N43" i="9" s="1"/>
  <c r="N60" i="9" s="1"/>
  <c r="O11" i="5"/>
  <c r="O42" i="5" s="1"/>
  <c r="O59" i="5" s="1"/>
  <c r="O11" i="7"/>
  <c r="O11" i="9" s="1"/>
  <c r="O42" i="9" s="1"/>
  <c r="N59" i="5"/>
  <c r="O57" i="5" l="1"/>
  <c r="O58" i="5"/>
  <c r="O55" i="9"/>
  <c r="P8" i="5"/>
  <c r="P39" i="5" s="1"/>
  <c r="P8" i="7"/>
  <c r="P8" i="9" s="1"/>
  <c r="P39" i="9" s="1"/>
  <c r="Q12" i="4"/>
  <c r="P13" i="5"/>
  <c r="P44" i="5" s="1"/>
  <c r="P13" i="7"/>
  <c r="P13" i="9" s="1"/>
  <c r="P44" i="9" s="1"/>
  <c r="O59" i="9"/>
  <c r="P7" i="5"/>
  <c r="P38" i="5" s="1"/>
  <c r="P55" i="5" s="1"/>
  <c r="P7" i="7"/>
  <c r="P7" i="9" s="1"/>
  <c r="P38" i="9" s="1"/>
  <c r="P15" i="5"/>
  <c r="P46" i="5" s="1"/>
  <c r="P63" i="5" s="1"/>
  <c r="P15" i="7"/>
  <c r="P15" i="9" s="1"/>
  <c r="P46" i="9" s="1"/>
  <c r="P63" i="9" s="1"/>
  <c r="O57" i="9"/>
  <c r="O58" i="9"/>
  <c r="O61" i="5"/>
  <c r="P11" i="5"/>
  <c r="P42" i="5" s="1"/>
  <c r="P11" i="7"/>
  <c r="P11" i="9" s="1"/>
  <c r="P42" i="9" s="1"/>
  <c r="P59" i="9" s="1"/>
  <c r="O12" i="5"/>
  <c r="O43" i="5" s="1"/>
  <c r="O60" i="5" s="1"/>
  <c r="O12" i="7"/>
  <c r="O12" i="9" s="1"/>
  <c r="O43" i="9" s="1"/>
  <c r="O60" i="9" s="1"/>
  <c r="P6" i="5"/>
  <c r="P37" i="5" s="1"/>
  <c r="P54" i="5" s="1"/>
  <c r="P6" i="7"/>
  <c r="P6" i="9" s="1"/>
  <c r="P37" i="9" s="1"/>
  <c r="P54" i="9" s="1"/>
  <c r="P9" i="5"/>
  <c r="P40" i="5" s="1"/>
  <c r="P57" i="5" s="1"/>
  <c r="P9" i="7"/>
  <c r="P9" i="9" s="1"/>
  <c r="P40" i="9" s="1"/>
  <c r="S5" i="4"/>
  <c r="R15" i="4"/>
  <c r="R9" i="4"/>
  <c r="R8" i="4"/>
  <c r="R7" i="4"/>
  <c r="R13" i="4"/>
  <c r="R10" i="4"/>
  <c r="R11" i="4"/>
  <c r="R6" i="4"/>
  <c r="O54" i="9"/>
  <c r="O56" i="9"/>
  <c r="O55" i="5"/>
  <c r="P10" i="5"/>
  <c r="P41" i="5" s="1"/>
  <c r="P58" i="5" s="1"/>
  <c r="P10" i="7"/>
  <c r="P10" i="9" s="1"/>
  <c r="P41" i="9" s="1"/>
  <c r="P58" i="9" s="1"/>
  <c r="P14" i="4"/>
  <c r="O61" i="9"/>
  <c r="P57" i="9" l="1"/>
  <c r="P61" i="9"/>
  <c r="O14" i="5"/>
  <c r="O45" i="5" s="1"/>
  <c r="O62" i="5" s="1"/>
  <c r="O14" i="7"/>
  <c r="O14" i="9" s="1"/>
  <c r="O45" i="9" s="1"/>
  <c r="O62" i="9" s="1"/>
  <c r="Q10" i="5"/>
  <c r="Q41" i="5" s="1"/>
  <c r="Q10" i="7"/>
  <c r="Q10" i="9" s="1"/>
  <c r="Q41" i="9" s="1"/>
  <c r="Q9" i="5"/>
  <c r="Q40" i="5" s="1"/>
  <c r="Q57" i="5" s="1"/>
  <c r="Q9" i="7"/>
  <c r="Q9" i="9" s="1"/>
  <c r="Q40" i="9" s="1"/>
  <c r="P56" i="5"/>
  <c r="R12" i="4"/>
  <c r="R14" i="4" s="1"/>
  <c r="Q13" i="5"/>
  <c r="Q44" i="5" s="1"/>
  <c r="Q61" i="5" s="1"/>
  <c r="Q13" i="7"/>
  <c r="Q13" i="9" s="1"/>
  <c r="Q44" i="9" s="1"/>
  <c r="Q15" i="5"/>
  <c r="Q46" i="5" s="1"/>
  <c r="Q63" i="5" s="1"/>
  <c r="Q15" i="7"/>
  <c r="Q15" i="9" s="1"/>
  <c r="Q46" i="9" s="1"/>
  <c r="Q63" i="9" s="1"/>
  <c r="P55" i="9"/>
  <c r="P61" i="5"/>
  <c r="Q6" i="7"/>
  <c r="Q6" i="9" s="1"/>
  <c r="Q37" i="9" s="1"/>
  <c r="Q54" i="9" s="1"/>
  <c r="Q6" i="5"/>
  <c r="Q37" i="5" s="1"/>
  <c r="Q54" i="5" s="1"/>
  <c r="Q7" i="5"/>
  <c r="Q38" i="5" s="1"/>
  <c r="Q7" i="7"/>
  <c r="Q7" i="9" s="1"/>
  <c r="Q38" i="9" s="1"/>
  <c r="T5" i="4"/>
  <c r="S9" i="4"/>
  <c r="S8" i="4"/>
  <c r="S7" i="4"/>
  <c r="S13" i="4"/>
  <c r="S10" i="4"/>
  <c r="S11" i="4"/>
  <c r="S15" i="4"/>
  <c r="S6" i="4"/>
  <c r="P12" i="5"/>
  <c r="P43" i="5" s="1"/>
  <c r="P60" i="5" s="1"/>
  <c r="P12" i="7"/>
  <c r="P12" i="9" s="1"/>
  <c r="P43" i="9" s="1"/>
  <c r="P60" i="9" s="1"/>
  <c r="Q11" i="5"/>
  <c r="Q42" i="5" s="1"/>
  <c r="Q59" i="5" s="1"/>
  <c r="Q11" i="7"/>
  <c r="Q11" i="9" s="1"/>
  <c r="Q42" i="9" s="1"/>
  <c r="Q59" i="9" s="1"/>
  <c r="Q8" i="5"/>
  <c r="Q39" i="5" s="1"/>
  <c r="Q56" i="5" s="1"/>
  <c r="Q8" i="7"/>
  <c r="Q8" i="9" s="1"/>
  <c r="Q39" i="9" s="1"/>
  <c r="Q14" i="4"/>
  <c r="P59" i="5"/>
  <c r="P56" i="9"/>
  <c r="Q56" i="9" l="1"/>
  <c r="Q55" i="9"/>
  <c r="R6" i="7"/>
  <c r="R6" i="9" s="1"/>
  <c r="R6" i="5"/>
  <c r="R37" i="5" s="1"/>
  <c r="S12" i="4"/>
  <c r="R13" i="5"/>
  <c r="R44" i="5" s="1"/>
  <c r="R13" i="7"/>
  <c r="R13" i="9" s="1"/>
  <c r="U5" i="4"/>
  <c r="T13" i="4"/>
  <c r="T10" i="4"/>
  <c r="T11" i="4"/>
  <c r="T9" i="4"/>
  <c r="T15" i="4"/>
  <c r="T8" i="4"/>
  <c r="T7" i="4"/>
  <c r="T6" i="4"/>
  <c r="Q12" i="5"/>
  <c r="Q43" i="5" s="1"/>
  <c r="Q60" i="5" s="1"/>
  <c r="Q12" i="7"/>
  <c r="Q12" i="9" s="1"/>
  <c r="Q43" i="9" s="1"/>
  <c r="Q60" i="9" s="1"/>
  <c r="Q58" i="9"/>
  <c r="R10" i="5"/>
  <c r="R41" i="5" s="1"/>
  <c r="R10" i="7"/>
  <c r="R10" i="9" s="1"/>
  <c r="P14" i="5"/>
  <c r="P45" i="5" s="1"/>
  <c r="P62" i="5" s="1"/>
  <c r="P14" i="7"/>
  <c r="P14" i="9" s="1"/>
  <c r="P45" i="9" s="1"/>
  <c r="P62" i="9" s="1"/>
  <c r="R15" i="5"/>
  <c r="R46" i="5" s="1"/>
  <c r="R63" i="5" s="1"/>
  <c r="R15" i="7"/>
  <c r="R15" i="9" s="1"/>
  <c r="R7" i="5"/>
  <c r="R38" i="5" s="1"/>
  <c r="R55" i="5" s="1"/>
  <c r="R7" i="7"/>
  <c r="R7" i="9" s="1"/>
  <c r="Q14" i="7"/>
  <c r="Q14" i="9" s="1"/>
  <c r="Q45" i="9" s="1"/>
  <c r="Q62" i="9" s="1"/>
  <c r="Q14" i="5"/>
  <c r="Q45" i="5" s="1"/>
  <c r="Q62" i="5" s="1"/>
  <c r="Q58" i="5"/>
  <c r="R11" i="5"/>
  <c r="R42" i="5" s="1"/>
  <c r="R59" i="5" s="1"/>
  <c r="R11" i="7"/>
  <c r="R11" i="9" s="1"/>
  <c r="R8" i="5"/>
  <c r="R39" i="5" s="1"/>
  <c r="R56" i="5" s="1"/>
  <c r="R8" i="7"/>
  <c r="R8" i="9" s="1"/>
  <c r="Q55" i="5"/>
  <c r="Q61" i="9"/>
  <c r="Q57" i="9"/>
  <c r="R9" i="5"/>
  <c r="R40" i="5" s="1"/>
  <c r="R57" i="5" s="1"/>
  <c r="R9" i="7"/>
  <c r="R9" i="9" s="1"/>
  <c r="R41" i="9" l="1"/>
  <c r="B19" i="20" s="1"/>
  <c r="B31" i="20"/>
  <c r="B7" i="20"/>
  <c r="AF25" i="9"/>
  <c r="Q7" i="20"/>
  <c r="S15" i="5"/>
  <c r="S46" i="5" s="1"/>
  <c r="S63" i="5" s="1"/>
  <c r="S15" i="7"/>
  <c r="S15" i="9" s="1"/>
  <c r="T12" i="4"/>
  <c r="S13" i="5"/>
  <c r="S44" i="5" s="1"/>
  <c r="S61" i="5" s="1"/>
  <c r="S13" i="7"/>
  <c r="S13" i="9" s="1"/>
  <c r="R12" i="5"/>
  <c r="R43" i="5" s="1"/>
  <c r="R60" i="5" s="1"/>
  <c r="R12" i="7"/>
  <c r="R12" i="9" s="1"/>
  <c r="B32" i="20"/>
  <c r="Q8" i="20"/>
  <c r="R42" i="9"/>
  <c r="AF26" i="9"/>
  <c r="B8" i="20"/>
  <c r="R58" i="5"/>
  <c r="S6" i="7"/>
  <c r="S6" i="9" s="1"/>
  <c r="S6" i="5"/>
  <c r="S37" i="5" s="1"/>
  <c r="S54" i="5" s="1"/>
  <c r="S9" i="5"/>
  <c r="S40" i="5" s="1"/>
  <c r="S57" i="5" s="1"/>
  <c r="S9" i="7"/>
  <c r="S9" i="9" s="1"/>
  <c r="V5" i="4"/>
  <c r="U11" i="4"/>
  <c r="U15" i="4"/>
  <c r="U9" i="4"/>
  <c r="U8" i="4"/>
  <c r="U7" i="4"/>
  <c r="U13" i="4"/>
  <c r="U10" i="4"/>
  <c r="U6" i="4"/>
  <c r="R54" i="5"/>
  <c r="B36" i="20"/>
  <c r="Q12" i="20"/>
  <c r="R46" i="9"/>
  <c r="B12" i="20"/>
  <c r="AF30" i="9"/>
  <c r="B30" i="20"/>
  <c r="R40" i="9"/>
  <c r="B6" i="20"/>
  <c r="Q6" i="20"/>
  <c r="AF24" i="9"/>
  <c r="Q4" i="20"/>
  <c r="B28" i="20"/>
  <c r="AF22" i="9"/>
  <c r="B4" i="20"/>
  <c r="R38" i="9"/>
  <c r="S7" i="5"/>
  <c r="S38" i="5" s="1"/>
  <c r="S55" i="5" s="1"/>
  <c r="S7" i="7"/>
  <c r="S7" i="9" s="1"/>
  <c r="S11" i="5"/>
  <c r="S42" i="5" s="1"/>
  <c r="S59" i="5" s="1"/>
  <c r="S11" i="7"/>
  <c r="S11" i="9" s="1"/>
  <c r="B34" i="20"/>
  <c r="R44" i="9"/>
  <c r="B10" i="20"/>
  <c r="AF28" i="9"/>
  <c r="Q10" i="20"/>
  <c r="AF21" i="9"/>
  <c r="B3" i="20"/>
  <c r="Q3" i="20"/>
  <c r="R37" i="9"/>
  <c r="B27" i="20"/>
  <c r="AF23" i="9"/>
  <c r="R39" i="9"/>
  <c r="B29" i="20"/>
  <c r="Q5" i="20"/>
  <c r="B5" i="20"/>
  <c r="S8" i="5"/>
  <c r="S39" i="5" s="1"/>
  <c r="S56" i="5" s="1"/>
  <c r="S8" i="7"/>
  <c r="S8" i="9" s="1"/>
  <c r="S10" i="5"/>
  <c r="S41" i="5" s="1"/>
  <c r="S58" i="5" s="1"/>
  <c r="S10" i="7"/>
  <c r="S10" i="9" s="1"/>
  <c r="R61" i="5"/>
  <c r="S14" i="4"/>
  <c r="C8" i="20" l="1"/>
  <c r="S42" i="9"/>
  <c r="B16" i="20"/>
  <c r="R55" i="9"/>
  <c r="AA22" i="9" s="1"/>
  <c r="R58" i="9"/>
  <c r="AA25" i="9" s="1"/>
  <c r="B24" i="20"/>
  <c r="R63" i="9"/>
  <c r="T8" i="5"/>
  <c r="T39" i="5" s="1"/>
  <c r="T8" i="7"/>
  <c r="T8" i="9" s="1"/>
  <c r="B33" i="20"/>
  <c r="AF27" i="9"/>
  <c r="Q9" i="20"/>
  <c r="R43" i="9"/>
  <c r="B9" i="20"/>
  <c r="S12" i="7"/>
  <c r="S12" i="9" s="1"/>
  <c r="S12" i="5"/>
  <c r="S43" i="5" s="1"/>
  <c r="S60" i="5" s="1"/>
  <c r="T10" i="5"/>
  <c r="T41" i="5" s="1"/>
  <c r="T10" i="7"/>
  <c r="T10" i="9" s="1"/>
  <c r="T9" i="5"/>
  <c r="T40" i="5" s="1"/>
  <c r="T9" i="7"/>
  <c r="T9" i="9" s="1"/>
  <c r="S40" i="9"/>
  <c r="C6" i="20"/>
  <c r="T14" i="4"/>
  <c r="B20" i="20"/>
  <c r="R59" i="9"/>
  <c r="AA26" i="9" s="1"/>
  <c r="C12" i="20"/>
  <c r="S46" i="9"/>
  <c r="S63" i="9" s="1"/>
  <c r="B18" i="20"/>
  <c r="R57" i="9"/>
  <c r="AA24" i="9" s="1"/>
  <c r="T6" i="7"/>
  <c r="T6" i="9" s="1"/>
  <c r="T6" i="5"/>
  <c r="T37" i="5" s="1"/>
  <c r="W5" i="4"/>
  <c r="V15" i="4"/>
  <c r="V9" i="4"/>
  <c r="V8" i="4"/>
  <c r="V7" i="4"/>
  <c r="V13" i="4"/>
  <c r="V10" i="4"/>
  <c r="V11" i="4"/>
  <c r="V6" i="4"/>
  <c r="S37" i="9"/>
  <c r="C3" i="20"/>
  <c r="R14" i="5"/>
  <c r="R45" i="5" s="1"/>
  <c r="R62" i="5" s="1"/>
  <c r="R14" i="7"/>
  <c r="R14" i="9" s="1"/>
  <c r="S39" i="9"/>
  <c r="C5" i="20"/>
  <c r="P20" i="20"/>
  <c r="B15" i="20"/>
  <c r="R54" i="9"/>
  <c r="AA21" i="9" s="1"/>
  <c r="B22" i="20"/>
  <c r="R61" i="9"/>
  <c r="AA28" i="9" s="1"/>
  <c r="S38" i="9"/>
  <c r="C4" i="20"/>
  <c r="U12" i="4"/>
  <c r="U14" i="4" s="1"/>
  <c r="T13" i="5"/>
  <c r="T44" i="5" s="1"/>
  <c r="T13" i="7"/>
  <c r="T13" i="9" s="1"/>
  <c r="T15" i="5"/>
  <c r="T46" i="5" s="1"/>
  <c r="T63" i="5" s="1"/>
  <c r="T15" i="7"/>
  <c r="T15" i="9" s="1"/>
  <c r="C10" i="20"/>
  <c r="S44" i="9"/>
  <c r="S41" i="9"/>
  <c r="C7" i="20"/>
  <c r="B17" i="20"/>
  <c r="R56" i="9"/>
  <c r="AA23" i="9" s="1"/>
  <c r="T7" i="5"/>
  <c r="T38" i="5" s="1"/>
  <c r="T55" i="5" s="1"/>
  <c r="T7" i="7"/>
  <c r="T7" i="9" s="1"/>
  <c r="T11" i="5"/>
  <c r="T42" i="5" s="1"/>
  <c r="T11" i="7"/>
  <c r="T11" i="9" s="1"/>
  <c r="S58" i="9" l="1"/>
  <c r="S54" i="9"/>
  <c r="S56" i="9"/>
  <c r="S61" i="9"/>
  <c r="S55" i="9"/>
  <c r="U10" i="5"/>
  <c r="U41" i="5" s="1"/>
  <c r="U10" i="7"/>
  <c r="U10" i="9" s="1"/>
  <c r="U41" i="9" s="1"/>
  <c r="U9" i="5"/>
  <c r="U40" i="5" s="1"/>
  <c r="U9" i="7"/>
  <c r="U9" i="9" s="1"/>
  <c r="D3" i="20"/>
  <c r="T37" i="9"/>
  <c r="S14" i="7"/>
  <c r="S14" i="9" s="1"/>
  <c r="S14" i="5"/>
  <c r="S45" i="5" s="1"/>
  <c r="S62" i="5" s="1"/>
  <c r="T57" i="5"/>
  <c r="T56" i="5"/>
  <c r="D8" i="20"/>
  <c r="T42" i="9"/>
  <c r="V12" i="4"/>
  <c r="V14" i="4" s="1"/>
  <c r="U13" i="7"/>
  <c r="U13" i="9" s="1"/>
  <c r="U44" i="9" s="1"/>
  <c r="U13" i="5"/>
  <c r="U44" i="5" s="1"/>
  <c r="T14" i="5"/>
  <c r="T45" i="5" s="1"/>
  <c r="T62" i="5" s="1"/>
  <c r="T14" i="7"/>
  <c r="T14" i="9" s="1"/>
  <c r="T41" i="9"/>
  <c r="D7" i="20"/>
  <c r="T59" i="5"/>
  <c r="T61" i="5"/>
  <c r="Q11" i="20"/>
  <c r="R45" i="9"/>
  <c r="B35" i="20"/>
  <c r="AF29" i="9"/>
  <c r="B11" i="20"/>
  <c r="U6" i="5"/>
  <c r="U37" i="5" s="1"/>
  <c r="U6" i="7"/>
  <c r="U6" i="9" s="1"/>
  <c r="U7" i="5"/>
  <c r="U38" i="5" s="1"/>
  <c r="U55" i="5" s="1"/>
  <c r="U7" i="7"/>
  <c r="U7" i="9" s="1"/>
  <c r="X5" i="4"/>
  <c r="W9" i="4"/>
  <c r="W8" i="4"/>
  <c r="W7" i="4"/>
  <c r="W13" i="4"/>
  <c r="W10" i="4"/>
  <c r="W11" i="4"/>
  <c r="W15" i="4"/>
  <c r="W6" i="4"/>
  <c r="S57" i="9"/>
  <c r="T58" i="5"/>
  <c r="S59" i="9"/>
  <c r="T44" i="9"/>
  <c r="D10" i="20"/>
  <c r="U15" i="7"/>
  <c r="U15" i="9" s="1"/>
  <c r="U15" i="5"/>
  <c r="U46" i="5" s="1"/>
  <c r="U63" i="5" s="1"/>
  <c r="C9" i="20"/>
  <c r="S43" i="9"/>
  <c r="S60" i="9" s="1"/>
  <c r="T38" i="9"/>
  <c r="D4" i="20"/>
  <c r="D12" i="20"/>
  <c r="T46" i="9"/>
  <c r="T63" i="9" s="1"/>
  <c r="T12" i="5"/>
  <c r="T43" i="5" s="1"/>
  <c r="T60" i="5" s="1"/>
  <c r="T12" i="7"/>
  <c r="T12" i="9" s="1"/>
  <c r="T43" i="9" s="1"/>
  <c r="U11" i="5"/>
  <c r="U42" i="5" s="1"/>
  <c r="U59" i="5" s="1"/>
  <c r="U11" i="7"/>
  <c r="U11" i="9" s="1"/>
  <c r="U42" i="9" s="1"/>
  <c r="U8" i="5"/>
  <c r="U39" i="5" s="1"/>
  <c r="U8" i="7"/>
  <c r="U8" i="9" s="1"/>
  <c r="T54" i="5"/>
  <c r="D6" i="20"/>
  <c r="T40" i="9"/>
  <c r="B21" i="20"/>
  <c r="R60" i="9"/>
  <c r="AA27" i="9" s="1"/>
  <c r="T39" i="9"/>
  <c r="T56" i="9" s="1"/>
  <c r="D5" i="20"/>
  <c r="E10" i="20" l="1"/>
  <c r="U56" i="5"/>
  <c r="U57" i="5"/>
  <c r="U46" i="9"/>
  <c r="U63" i="9" s="1"/>
  <c r="E12" i="20"/>
  <c r="V7" i="5"/>
  <c r="V38" i="5" s="1"/>
  <c r="V7" i="7"/>
  <c r="V7" i="9" s="1"/>
  <c r="U14" i="7"/>
  <c r="U14" i="9" s="1"/>
  <c r="U14" i="5"/>
  <c r="U45" i="5" s="1"/>
  <c r="U62" i="5" s="1"/>
  <c r="T45" i="9"/>
  <c r="T62" i="9" s="1"/>
  <c r="D11" i="20"/>
  <c r="E8" i="20"/>
  <c r="U58" i="9"/>
  <c r="T57" i="9"/>
  <c r="T55" i="9"/>
  <c r="V6" i="5"/>
  <c r="V37" i="5" s="1"/>
  <c r="V6" i="7"/>
  <c r="V6" i="9" s="1"/>
  <c r="W12" i="4"/>
  <c r="V13" i="5"/>
  <c r="V44" i="5" s="1"/>
  <c r="V13" i="7"/>
  <c r="V13" i="9" s="1"/>
  <c r="Y5" i="4"/>
  <c r="X13" i="4"/>
  <c r="X10" i="4"/>
  <c r="X11" i="4"/>
  <c r="X8" i="4"/>
  <c r="X7" i="4"/>
  <c r="X15" i="4"/>
  <c r="X9" i="4"/>
  <c r="X6" i="4"/>
  <c r="U54" i="5"/>
  <c r="E7" i="20"/>
  <c r="U61" i="9"/>
  <c r="U40" i="9"/>
  <c r="U57" i="9" s="1"/>
  <c r="E6" i="20"/>
  <c r="U59" i="9"/>
  <c r="V15" i="5"/>
  <c r="V46" i="5" s="1"/>
  <c r="V63" i="5" s="1"/>
  <c r="V15" i="7"/>
  <c r="V15" i="9" s="1"/>
  <c r="U38" i="9"/>
  <c r="U55" i="9" s="1"/>
  <c r="E4" i="20"/>
  <c r="R62" i="9"/>
  <c r="AA29" i="9" s="1"/>
  <c r="B23" i="20"/>
  <c r="U12" i="7"/>
  <c r="U12" i="9" s="1"/>
  <c r="U12" i="5"/>
  <c r="U43" i="5" s="1"/>
  <c r="U60" i="5" s="1"/>
  <c r="C11" i="20"/>
  <c r="S45" i="9"/>
  <c r="S62" i="9" s="1"/>
  <c r="V11" i="5"/>
  <c r="V42" i="5" s="1"/>
  <c r="V11" i="7"/>
  <c r="V11" i="9" s="1"/>
  <c r="V8" i="5"/>
  <c r="V39" i="5" s="1"/>
  <c r="V56" i="5" s="1"/>
  <c r="V8" i="7"/>
  <c r="V8" i="9" s="1"/>
  <c r="T54" i="9"/>
  <c r="U39" i="9"/>
  <c r="U56" i="9" s="1"/>
  <c r="E5" i="20"/>
  <c r="T60" i="9"/>
  <c r="D9" i="20"/>
  <c r="T61" i="9"/>
  <c r="V10" i="5"/>
  <c r="V41" i="5" s="1"/>
  <c r="V58" i="5" s="1"/>
  <c r="V10" i="7"/>
  <c r="V10" i="9" s="1"/>
  <c r="V9" i="5"/>
  <c r="V40" i="5" s="1"/>
  <c r="V9" i="7"/>
  <c r="V9" i="9" s="1"/>
  <c r="E3" i="20"/>
  <c r="U37" i="9"/>
  <c r="U54" i="9" s="1"/>
  <c r="T58" i="9"/>
  <c r="U61" i="5"/>
  <c r="T59" i="9"/>
  <c r="U58" i="5"/>
  <c r="W8" i="5" l="1"/>
  <c r="W39" i="5" s="1"/>
  <c r="W8" i="7"/>
  <c r="W8" i="9" s="1"/>
  <c r="V55" i="5"/>
  <c r="W9" i="5"/>
  <c r="W40" i="5" s="1"/>
  <c r="W9" i="7"/>
  <c r="W9" i="9" s="1"/>
  <c r="V57" i="5"/>
  <c r="V59" i="5"/>
  <c r="W15" i="5"/>
  <c r="W46" i="5" s="1"/>
  <c r="W63" i="5" s="1"/>
  <c r="W15" i="7"/>
  <c r="W15" i="9" s="1"/>
  <c r="W10" i="5"/>
  <c r="W41" i="5" s="1"/>
  <c r="W58" i="5" s="1"/>
  <c r="W10" i="7"/>
  <c r="W10" i="9" s="1"/>
  <c r="V41" i="9"/>
  <c r="F7" i="20"/>
  <c r="F5" i="20"/>
  <c r="V39" i="9"/>
  <c r="V56" i="9" s="1"/>
  <c r="F12" i="20"/>
  <c r="V46" i="9"/>
  <c r="V63" i="9" s="1"/>
  <c r="W7" i="5"/>
  <c r="W38" i="5" s="1"/>
  <c r="W55" i="5" s="1"/>
  <c r="W7" i="7"/>
  <c r="W7" i="9" s="1"/>
  <c r="X12" i="4"/>
  <c r="W13" i="5"/>
  <c r="W44" i="5" s="1"/>
  <c r="W61" i="5" s="1"/>
  <c r="W13" i="7"/>
  <c r="W13" i="9" s="1"/>
  <c r="V12" i="5"/>
  <c r="V43" i="5" s="1"/>
  <c r="V60" i="5" s="1"/>
  <c r="V12" i="7"/>
  <c r="V12" i="9" s="1"/>
  <c r="V38" i="9"/>
  <c r="V55" i="9" s="1"/>
  <c r="F4" i="20"/>
  <c r="Z5" i="4"/>
  <c r="Y11" i="4"/>
  <c r="Y15" i="4"/>
  <c r="Y10" i="4"/>
  <c r="Y9" i="4"/>
  <c r="Y8" i="4"/>
  <c r="Y7" i="4"/>
  <c r="Y13" i="4"/>
  <c r="Y12" i="4" s="1"/>
  <c r="Y6" i="4"/>
  <c r="V42" i="9"/>
  <c r="V59" i="9" s="1"/>
  <c r="F8" i="20"/>
  <c r="W11" i="5"/>
  <c r="W42" i="5" s="1"/>
  <c r="W59" i="5" s="1"/>
  <c r="W11" i="7"/>
  <c r="W11" i="9" s="1"/>
  <c r="F10" i="20"/>
  <c r="V44" i="9"/>
  <c r="V61" i="9" s="1"/>
  <c r="V54" i="5"/>
  <c r="X14" i="4"/>
  <c r="W6" i="7"/>
  <c r="W6" i="9" s="1"/>
  <c r="W6" i="5"/>
  <c r="W37" i="5" s="1"/>
  <c r="W54" i="5" s="1"/>
  <c r="V37" i="9"/>
  <c r="V54" i="9" s="1"/>
  <c r="F3" i="20"/>
  <c r="V40" i="9"/>
  <c r="V57" i="9" s="1"/>
  <c r="F6" i="20"/>
  <c r="U43" i="9"/>
  <c r="U60" i="9" s="1"/>
  <c r="E9" i="20"/>
  <c r="V61" i="5"/>
  <c r="W14" i="4"/>
  <c r="U45" i="9"/>
  <c r="U62" i="9" s="1"/>
  <c r="E11" i="20"/>
  <c r="X7" i="5" l="1"/>
  <c r="X38" i="5" s="1"/>
  <c r="X7" i="7"/>
  <c r="X7" i="9" s="1"/>
  <c r="W44" i="9"/>
  <c r="G10" i="20"/>
  <c r="W14" i="7"/>
  <c r="W14" i="9" s="1"/>
  <c r="W14" i="5"/>
  <c r="W45" i="5" s="1"/>
  <c r="W62" i="5" s="1"/>
  <c r="X13" i="5"/>
  <c r="X44" i="5" s="1"/>
  <c r="X13" i="7"/>
  <c r="X13" i="9" s="1"/>
  <c r="X10" i="5"/>
  <c r="X41" i="5" s="1"/>
  <c r="X10" i="7"/>
  <c r="X10" i="9" s="1"/>
  <c r="AA5" i="4"/>
  <c r="Z15" i="4"/>
  <c r="Z11" i="4"/>
  <c r="Z9" i="4"/>
  <c r="Z7" i="4"/>
  <c r="Z10" i="4"/>
  <c r="Z8" i="4"/>
  <c r="Z13" i="4"/>
  <c r="Z6" i="4"/>
  <c r="G4" i="20"/>
  <c r="W38" i="9"/>
  <c r="V58" i="9"/>
  <c r="W57" i="5"/>
  <c r="X12" i="5"/>
  <c r="X43" i="5" s="1"/>
  <c r="X12" i="7"/>
  <c r="X12" i="9" s="1"/>
  <c r="W37" i="9"/>
  <c r="G3" i="20"/>
  <c r="X8" i="5"/>
  <c r="X39" i="5" s="1"/>
  <c r="X8" i="7"/>
  <c r="X8" i="9" s="1"/>
  <c r="X15" i="5"/>
  <c r="X46" i="5" s="1"/>
  <c r="X63" i="5" s="1"/>
  <c r="X15" i="7"/>
  <c r="X15" i="9" s="1"/>
  <c r="W39" i="9"/>
  <c r="G5" i="20"/>
  <c r="V14" i="5"/>
  <c r="V45" i="5" s="1"/>
  <c r="V62" i="5" s="1"/>
  <c r="V14" i="7"/>
  <c r="V14" i="9" s="1"/>
  <c r="W41" i="9"/>
  <c r="G7" i="20"/>
  <c r="W42" i="9"/>
  <c r="G8" i="20"/>
  <c r="Y14" i="4"/>
  <c r="X6" i="7"/>
  <c r="X6" i="9" s="1"/>
  <c r="X6" i="5"/>
  <c r="X37" i="5" s="1"/>
  <c r="X54" i="5" s="1"/>
  <c r="X9" i="5"/>
  <c r="X40" i="5" s="1"/>
  <c r="X9" i="7"/>
  <c r="X9" i="9" s="1"/>
  <c r="X11" i="5"/>
  <c r="X42" i="5" s="1"/>
  <c r="X11" i="7"/>
  <c r="X11" i="9" s="1"/>
  <c r="V43" i="9"/>
  <c r="V60" i="9" s="1"/>
  <c r="F9" i="20"/>
  <c r="W12" i="5"/>
  <c r="W43" i="5" s="1"/>
  <c r="W60" i="5" s="1"/>
  <c r="W12" i="7"/>
  <c r="W12" i="9" s="1"/>
  <c r="W46" i="9"/>
  <c r="W63" i="9" s="1"/>
  <c r="G12" i="20"/>
  <c r="W40" i="9"/>
  <c r="G6" i="20"/>
  <c r="W56" i="5"/>
  <c r="W59" i="9" l="1"/>
  <c r="W54" i="9"/>
  <c r="X57" i="5"/>
  <c r="F11" i="20"/>
  <c r="V45" i="9"/>
  <c r="V62" i="9" s="1"/>
  <c r="X46" i="9"/>
  <c r="X63" i="9" s="1"/>
  <c r="H12" i="20"/>
  <c r="Y6" i="7"/>
  <c r="Y6" i="9" s="1"/>
  <c r="Y6" i="5"/>
  <c r="Y37" i="5" s="1"/>
  <c r="Y7" i="5"/>
  <c r="Y38" i="5" s="1"/>
  <c r="Y7" i="7"/>
  <c r="Y7" i="9" s="1"/>
  <c r="Y15" i="5"/>
  <c r="Y46" i="5" s="1"/>
  <c r="Y63" i="5" s="1"/>
  <c r="Y15" i="7"/>
  <c r="Y15" i="9" s="1"/>
  <c r="X44" i="9"/>
  <c r="X61" i="9" s="1"/>
  <c r="H10" i="20"/>
  <c r="X42" i="9"/>
  <c r="H8" i="20"/>
  <c r="Y13" i="5"/>
  <c r="Y44" i="5" s="1"/>
  <c r="Y13" i="7"/>
  <c r="Y13" i="9" s="1"/>
  <c r="X61" i="5"/>
  <c r="X37" i="9"/>
  <c r="H3" i="20"/>
  <c r="X39" i="9"/>
  <c r="X56" i="9" s="1"/>
  <c r="H5" i="20"/>
  <c r="X43" i="9"/>
  <c r="X60" i="9" s="1"/>
  <c r="H9" i="20"/>
  <c r="W55" i="9"/>
  <c r="Y8" i="7"/>
  <c r="Y8" i="9" s="1"/>
  <c r="Y8" i="5"/>
  <c r="Y39" i="5" s="1"/>
  <c r="Y56" i="5" s="1"/>
  <c r="Y11" i="5"/>
  <c r="Y42" i="5" s="1"/>
  <c r="Y11" i="7"/>
  <c r="Y11" i="9" s="1"/>
  <c r="X41" i="9"/>
  <c r="H7" i="20"/>
  <c r="X38" i="9"/>
  <c r="X55" i="9" s="1"/>
  <c r="H4" i="20"/>
  <c r="W43" i="9"/>
  <c r="W60" i="9" s="1"/>
  <c r="G9" i="20"/>
  <c r="Y9" i="7"/>
  <c r="Y9" i="9" s="1"/>
  <c r="Y9" i="5"/>
  <c r="Y40" i="5" s="1"/>
  <c r="AB5" i="4"/>
  <c r="AA8" i="4"/>
  <c r="AA10" i="4"/>
  <c r="AA15" i="4"/>
  <c r="AA11" i="4"/>
  <c r="AA7" i="4"/>
  <c r="AA9" i="4"/>
  <c r="AA13" i="4"/>
  <c r="AA6" i="4"/>
  <c r="W61" i="9"/>
  <c r="W57" i="9"/>
  <c r="X59" i="5"/>
  <c r="X40" i="9"/>
  <c r="X57" i="9" s="1"/>
  <c r="H6" i="20"/>
  <c r="X14" i="5"/>
  <c r="X45" i="5" s="1"/>
  <c r="X62" i="5" s="1"/>
  <c r="X14" i="7"/>
  <c r="X14" i="9" s="1"/>
  <c r="W58" i="9"/>
  <c r="W56" i="9"/>
  <c r="X56" i="5"/>
  <c r="X60" i="5"/>
  <c r="Y10" i="5"/>
  <c r="Y41" i="5" s="1"/>
  <c r="Y58" i="5" s="1"/>
  <c r="Y10" i="7"/>
  <c r="Y10" i="9" s="1"/>
  <c r="Z12" i="4"/>
  <c r="X58" i="5"/>
  <c r="G11" i="20"/>
  <c r="W45" i="9"/>
  <c r="W62" i="9" s="1"/>
  <c r="X55" i="5"/>
  <c r="X58" i="9" l="1"/>
  <c r="X59" i="9"/>
  <c r="X54" i="9"/>
  <c r="Y46" i="9"/>
  <c r="AG30" i="9"/>
  <c r="C36" i="20"/>
  <c r="I12" i="20"/>
  <c r="P12" i="20"/>
  <c r="Y54" i="5"/>
  <c r="Z8" i="7"/>
  <c r="Z8" i="9" s="1"/>
  <c r="Z8" i="5"/>
  <c r="Z39" i="5" s="1"/>
  <c r="Z56" i="5" s="1"/>
  <c r="X45" i="9"/>
  <c r="X62" i="9" s="1"/>
  <c r="H11" i="20"/>
  <c r="Z13" i="5"/>
  <c r="Z44" i="5" s="1"/>
  <c r="Z13" i="7"/>
  <c r="Z13" i="9" s="1"/>
  <c r="AC5" i="4"/>
  <c r="AB8" i="4"/>
  <c r="AB7" i="4"/>
  <c r="AB15" i="4"/>
  <c r="AB11" i="4"/>
  <c r="AB13" i="4"/>
  <c r="AB9" i="4"/>
  <c r="AB10" i="4"/>
  <c r="AB6" i="4"/>
  <c r="Y12" i="5"/>
  <c r="Y43" i="5" s="1"/>
  <c r="Y60" i="5" s="1"/>
  <c r="Y12" i="7"/>
  <c r="Y12" i="9" s="1"/>
  <c r="AA12" i="4"/>
  <c r="AA14" i="4" s="1"/>
  <c r="Y57" i="5"/>
  <c r="AG26" i="9"/>
  <c r="Y42" i="9"/>
  <c r="P8" i="20"/>
  <c r="C32" i="20"/>
  <c r="E32" i="20" s="1"/>
  <c r="I8" i="20"/>
  <c r="C34" i="20"/>
  <c r="E34" i="20" s="1"/>
  <c r="P10" i="20"/>
  <c r="AG28" i="9"/>
  <c r="I10" i="20"/>
  <c r="Y44" i="9"/>
  <c r="Y38" i="9"/>
  <c r="P4" i="20"/>
  <c r="C28" i="20"/>
  <c r="E28" i="20" s="1"/>
  <c r="AG22" i="9"/>
  <c r="I4" i="20"/>
  <c r="Z14" i="4"/>
  <c r="Z6" i="7"/>
  <c r="Z6" i="9" s="1"/>
  <c r="Z6" i="5"/>
  <c r="Z37" i="5" s="1"/>
  <c r="Z54" i="5" s="1"/>
  <c r="Z7" i="7"/>
  <c r="Z7" i="9" s="1"/>
  <c r="Z7" i="5"/>
  <c r="Z38" i="5" s="1"/>
  <c r="Z11" i="7"/>
  <c r="Z11" i="9" s="1"/>
  <c r="Z11" i="5"/>
  <c r="Z42" i="5" s="1"/>
  <c r="Z59" i="5" s="1"/>
  <c r="Y39" i="9"/>
  <c r="C29" i="20"/>
  <c r="E29" i="20" s="1"/>
  <c r="AG23" i="9"/>
  <c r="P5" i="20"/>
  <c r="I5" i="20"/>
  <c r="Y37" i="9"/>
  <c r="C27" i="20"/>
  <c r="E27" i="20" s="1"/>
  <c r="I3" i="20"/>
  <c r="P3" i="20"/>
  <c r="AG21" i="9"/>
  <c r="Z15" i="5"/>
  <c r="Z46" i="5" s="1"/>
  <c r="Z63" i="5" s="1"/>
  <c r="Z15" i="7"/>
  <c r="Z15" i="9" s="1"/>
  <c r="Y41" i="9"/>
  <c r="P7" i="20"/>
  <c r="AG25" i="9"/>
  <c r="C31" i="20"/>
  <c r="E31" i="20" s="1"/>
  <c r="I7" i="20"/>
  <c r="Z9" i="5"/>
  <c r="Z40" i="5" s="1"/>
  <c r="Z9" i="7"/>
  <c r="Z9" i="9" s="1"/>
  <c r="Z10" i="5"/>
  <c r="Z41" i="5" s="1"/>
  <c r="Z58" i="5" s="1"/>
  <c r="Z10" i="7"/>
  <c r="Z10" i="9" s="1"/>
  <c r="Y40" i="9"/>
  <c r="C30" i="20"/>
  <c r="E30" i="20" s="1"/>
  <c r="I6" i="20"/>
  <c r="AG24" i="9"/>
  <c r="P6" i="20"/>
  <c r="Y59" i="5"/>
  <c r="Y61" i="5"/>
  <c r="Y55" i="5"/>
  <c r="Z57" i="5" l="1"/>
  <c r="Z55" i="5"/>
  <c r="Z46" i="9"/>
  <c r="J12" i="20"/>
  <c r="B48" i="20" s="1"/>
  <c r="R12" i="20"/>
  <c r="Z12" i="7"/>
  <c r="Z12" i="9" s="1"/>
  <c r="Z12" i="5"/>
  <c r="Z43" i="5" s="1"/>
  <c r="Z60" i="5" s="1"/>
  <c r="AA15" i="5"/>
  <c r="AA46" i="5" s="1"/>
  <c r="AA63" i="5" s="1"/>
  <c r="AA15" i="7"/>
  <c r="AA15" i="9" s="1"/>
  <c r="Z44" i="9"/>
  <c r="R10" i="20"/>
  <c r="J10" i="20"/>
  <c r="B46" i="20" s="1"/>
  <c r="C16" i="20"/>
  <c r="F16" i="20" s="1"/>
  <c r="Y55" i="9"/>
  <c r="AB22" i="9" s="1"/>
  <c r="AA10" i="7"/>
  <c r="AA10" i="9" s="1"/>
  <c r="AA10" i="5"/>
  <c r="AA41" i="5" s="1"/>
  <c r="AA58" i="5" s="1"/>
  <c r="R6" i="20"/>
  <c r="J6" i="20"/>
  <c r="B42" i="20" s="1"/>
  <c r="Z40" i="9"/>
  <c r="R8" i="20"/>
  <c r="Z42" i="9"/>
  <c r="J8" i="20"/>
  <c r="B44" i="20" s="1"/>
  <c r="R3" i="20"/>
  <c r="J3" i="20"/>
  <c r="B39" i="20" s="1"/>
  <c r="Z37" i="9"/>
  <c r="C22" i="20"/>
  <c r="F22" i="20" s="1"/>
  <c r="Y61" i="9"/>
  <c r="AB28" i="9" s="1"/>
  <c r="C20" i="20"/>
  <c r="F20" i="20" s="1"/>
  <c r="Y59" i="9"/>
  <c r="AB26" i="9" s="1"/>
  <c r="C33" i="20"/>
  <c r="E33" i="20" s="1"/>
  <c r="Y43" i="9"/>
  <c r="I9" i="20"/>
  <c r="P9" i="20"/>
  <c r="AG27" i="9"/>
  <c r="AA9" i="5"/>
  <c r="AA40" i="5" s="1"/>
  <c r="AA57" i="5" s="1"/>
  <c r="AA9" i="7"/>
  <c r="AA9" i="9" s="1"/>
  <c r="AA7" i="7"/>
  <c r="AA7" i="9" s="1"/>
  <c r="AA7" i="5"/>
  <c r="AA38" i="5" s="1"/>
  <c r="AA55" i="5" s="1"/>
  <c r="Z61" i="5"/>
  <c r="Z39" i="9"/>
  <c r="R5" i="20"/>
  <c r="J5" i="20"/>
  <c r="B41" i="20" s="1"/>
  <c r="P19" i="20"/>
  <c r="E36" i="20"/>
  <c r="C18" i="20"/>
  <c r="F18" i="20" s="1"/>
  <c r="Y57" i="9"/>
  <c r="AB24" i="9" s="1"/>
  <c r="C15" i="20"/>
  <c r="F15" i="20" s="1"/>
  <c r="Y54" i="9"/>
  <c r="AB21" i="9" s="1"/>
  <c r="Z14" i="5"/>
  <c r="Z45" i="5" s="1"/>
  <c r="Z62" i="5" s="1"/>
  <c r="Z14" i="7"/>
  <c r="Z14" i="9" s="1"/>
  <c r="AB12" i="4"/>
  <c r="AB14" i="4" s="1"/>
  <c r="AA13" i="5"/>
  <c r="AA44" i="5" s="1"/>
  <c r="AA61" i="5" s="1"/>
  <c r="AA13" i="7"/>
  <c r="AA13" i="9" s="1"/>
  <c r="AA8" i="7"/>
  <c r="AA8" i="9" s="1"/>
  <c r="AA8" i="5"/>
  <c r="AA39" i="5" s="1"/>
  <c r="AA56" i="5" s="1"/>
  <c r="R7" i="20"/>
  <c r="Z41" i="9"/>
  <c r="J7" i="20"/>
  <c r="B43" i="20" s="1"/>
  <c r="C19" i="20"/>
  <c r="F19" i="20" s="1"/>
  <c r="Y58" i="9"/>
  <c r="AB25" i="9" s="1"/>
  <c r="C17" i="20"/>
  <c r="F17" i="20" s="1"/>
  <c r="Y56" i="9"/>
  <c r="AB23" i="9" s="1"/>
  <c r="J4" i="20"/>
  <c r="B40" i="20" s="1"/>
  <c r="R4" i="20"/>
  <c r="Z38" i="9"/>
  <c r="Y14" i="7"/>
  <c r="Y14" i="9" s="1"/>
  <c r="Y14" i="5"/>
  <c r="Y45" i="5" s="1"/>
  <c r="Y62" i="5" s="1"/>
  <c r="AA6" i="7"/>
  <c r="AA6" i="9" s="1"/>
  <c r="AA6" i="5"/>
  <c r="AA37" i="5" s="1"/>
  <c r="AA54" i="5" s="1"/>
  <c r="AA11" i="7"/>
  <c r="AA11" i="9" s="1"/>
  <c r="AA11" i="5"/>
  <c r="AA42" i="5" s="1"/>
  <c r="AA59" i="5" s="1"/>
  <c r="AD5" i="4"/>
  <c r="AC15" i="4"/>
  <c r="AC11" i="4"/>
  <c r="AC10" i="4"/>
  <c r="AC7" i="4"/>
  <c r="AC9" i="4"/>
  <c r="AC8" i="4"/>
  <c r="AC13" i="4"/>
  <c r="AC6" i="4"/>
  <c r="Y63" i="9"/>
  <c r="C24" i="20"/>
  <c r="F24" i="20" s="1"/>
  <c r="AB7" i="7" l="1"/>
  <c r="AB7" i="9" s="1"/>
  <c r="AB7" i="5"/>
  <c r="AB38" i="5" s="1"/>
  <c r="Z43" i="9"/>
  <c r="R9" i="20"/>
  <c r="J9" i="20"/>
  <c r="B45" i="20" s="1"/>
  <c r="AA14" i="5"/>
  <c r="AA45" i="5" s="1"/>
  <c r="AA62" i="5" s="1"/>
  <c r="AA14" i="7"/>
  <c r="AA14" i="9" s="1"/>
  <c r="K4" i="20"/>
  <c r="C40" i="20" s="1"/>
  <c r="AA38" i="9"/>
  <c r="Z54" i="9"/>
  <c r="D15" i="20"/>
  <c r="G15" i="20" s="1"/>
  <c r="D20" i="20"/>
  <c r="G20" i="20" s="1"/>
  <c r="Z59" i="9"/>
  <c r="AA46" i="9"/>
  <c r="AA63" i="9" s="1"/>
  <c r="K12" i="20"/>
  <c r="C48" i="20" s="1"/>
  <c r="AB6" i="7"/>
  <c r="AB6" i="9" s="1"/>
  <c r="AB6" i="5"/>
  <c r="AB37" i="5" s="1"/>
  <c r="AE5" i="4"/>
  <c r="AD15" i="4"/>
  <c r="AD9" i="4"/>
  <c r="AD7" i="4"/>
  <c r="AD11" i="4"/>
  <c r="AD10" i="4"/>
  <c r="AD8" i="4"/>
  <c r="AD13" i="4"/>
  <c r="AD6" i="4"/>
  <c r="AD12" i="4"/>
  <c r="Z55" i="9"/>
  <c r="D16" i="20"/>
  <c r="G16" i="20" s="1"/>
  <c r="AA44" i="9"/>
  <c r="AA61" i="9" s="1"/>
  <c r="K10" i="20"/>
  <c r="C46" i="20" s="1"/>
  <c r="D22" i="20"/>
  <c r="Z61" i="9"/>
  <c r="AC12" i="4"/>
  <c r="AB13" i="5"/>
  <c r="AB44" i="5" s="1"/>
  <c r="AB61" i="5" s="1"/>
  <c r="AB13" i="7"/>
  <c r="AB13" i="9" s="1"/>
  <c r="AB11" i="7"/>
  <c r="AB11" i="9" s="1"/>
  <c r="AB11" i="5"/>
  <c r="AB42" i="5" s="1"/>
  <c r="K8" i="20"/>
  <c r="C44" i="20" s="1"/>
  <c r="AA42" i="9"/>
  <c r="AA59" i="9" s="1"/>
  <c r="AA12" i="5"/>
  <c r="AA43" i="5" s="1"/>
  <c r="AA60" i="5" s="1"/>
  <c r="AA12" i="7"/>
  <c r="AA12" i="9" s="1"/>
  <c r="Z56" i="9"/>
  <c r="D17" i="20"/>
  <c r="G17" i="20" s="1"/>
  <c r="K6" i="20"/>
  <c r="C42" i="20" s="1"/>
  <c r="AA40" i="9"/>
  <c r="AA57" i="9" s="1"/>
  <c r="AA37" i="9"/>
  <c r="AA54" i="9" s="1"/>
  <c r="K3" i="20"/>
  <c r="C39" i="20" s="1"/>
  <c r="S3" i="20"/>
  <c r="Z58" i="9"/>
  <c r="D19" i="20"/>
  <c r="G19" i="20" s="1"/>
  <c r="AB10" i="5"/>
  <c r="AB41" i="5" s="1"/>
  <c r="AB10" i="7"/>
  <c r="AB10" i="9" s="1"/>
  <c r="AB8" i="5"/>
  <c r="AB39" i="5" s="1"/>
  <c r="AB8" i="7"/>
  <c r="AB8" i="9" s="1"/>
  <c r="AB9" i="5"/>
  <c r="AB40" i="5" s="1"/>
  <c r="AB9" i="7"/>
  <c r="AB9" i="9" s="1"/>
  <c r="AC14" i="4"/>
  <c r="AB15" i="7"/>
  <c r="AB15" i="9" s="1"/>
  <c r="AB15" i="5"/>
  <c r="AB46" i="5" s="1"/>
  <c r="C35" i="20"/>
  <c r="E35" i="20" s="1"/>
  <c r="I11" i="20"/>
  <c r="Y45" i="9"/>
  <c r="AG29" i="9"/>
  <c r="P11" i="20"/>
  <c r="K5" i="20"/>
  <c r="C41" i="20" s="1"/>
  <c r="AA39" i="9"/>
  <c r="AA56" i="9" s="1"/>
  <c r="J11" i="20"/>
  <c r="B47" i="20" s="1"/>
  <c r="R11" i="20"/>
  <c r="Z45" i="9"/>
  <c r="C21" i="20"/>
  <c r="F21" i="20" s="1"/>
  <c r="Y60" i="9"/>
  <c r="AB27" i="9" s="1"/>
  <c r="Z57" i="9"/>
  <c r="D18" i="20"/>
  <c r="G18" i="20" s="1"/>
  <c r="AA41" i="9"/>
  <c r="AA58" i="9" s="1"/>
  <c r="K7" i="20"/>
  <c r="C43" i="20" s="1"/>
  <c r="Z63" i="9"/>
  <c r="D24" i="20"/>
  <c r="G24" i="20" s="1"/>
  <c r="L12" i="20" l="1"/>
  <c r="AB46" i="9"/>
  <c r="AB63" i="9" s="1"/>
  <c r="AB57" i="5"/>
  <c r="AB63" i="5"/>
  <c r="AB58" i="5"/>
  <c r="AB44" i="9"/>
  <c r="AB61" i="9" s="1"/>
  <c r="L10" i="20"/>
  <c r="G22" i="20"/>
  <c r="AC8" i="7"/>
  <c r="AC8" i="9" s="1"/>
  <c r="AC8" i="5"/>
  <c r="AC39" i="5" s="1"/>
  <c r="AC56" i="5" s="1"/>
  <c r="AC9" i="5"/>
  <c r="AC40" i="5" s="1"/>
  <c r="AC9" i="7"/>
  <c r="AC9" i="9" s="1"/>
  <c r="L3" i="20"/>
  <c r="AB37" i="9"/>
  <c r="AB54" i="9" s="1"/>
  <c r="AB39" i="9"/>
  <c r="L5" i="20"/>
  <c r="AC10" i="7"/>
  <c r="AC10" i="9" s="1"/>
  <c r="AC10" i="5"/>
  <c r="AC41" i="5" s="1"/>
  <c r="AC58" i="5" s="1"/>
  <c r="AC15" i="5"/>
  <c r="AC46" i="5" s="1"/>
  <c r="AC63" i="5" s="1"/>
  <c r="AC15" i="7"/>
  <c r="AC15" i="9" s="1"/>
  <c r="AA45" i="9"/>
  <c r="AA62" i="9" s="1"/>
  <c r="K11" i="20"/>
  <c r="C47" i="20" s="1"/>
  <c r="Z60" i="9"/>
  <c r="D21" i="20"/>
  <c r="G21" i="20" s="1"/>
  <c r="D23" i="20"/>
  <c r="Z62" i="9"/>
  <c r="AB14" i="7"/>
  <c r="AB14" i="9" s="1"/>
  <c r="AB14" i="5"/>
  <c r="AB45" i="5" s="1"/>
  <c r="AB62" i="5" s="1"/>
  <c r="AB56" i="5"/>
  <c r="AA43" i="9"/>
  <c r="AA60" i="9" s="1"/>
  <c r="K9" i="20"/>
  <c r="C45" i="20" s="1"/>
  <c r="AB59" i="5"/>
  <c r="AB12" i="5"/>
  <c r="AB43" i="5" s="1"/>
  <c r="AB60" i="5" s="1"/>
  <c r="AB12" i="7"/>
  <c r="AB12" i="9" s="1"/>
  <c r="AC6" i="5"/>
  <c r="AC37" i="5" s="1"/>
  <c r="AC54" i="5" s="1"/>
  <c r="AC6" i="7"/>
  <c r="AC6" i="9" s="1"/>
  <c r="AC11" i="5"/>
  <c r="AC42" i="5" s="1"/>
  <c r="AC59" i="5" s="1"/>
  <c r="AC11" i="7"/>
  <c r="AC11" i="9" s="1"/>
  <c r="AE13" i="4"/>
  <c r="AF5" i="4"/>
  <c r="AE7" i="4"/>
  <c r="AE9" i="4"/>
  <c r="AE11" i="4"/>
  <c r="AE8" i="4"/>
  <c r="AE15" i="4"/>
  <c r="AE10" i="4"/>
  <c r="AE6" i="4"/>
  <c r="AE12" i="4"/>
  <c r="AB55" i="5"/>
  <c r="C23" i="20"/>
  <c r="F23" i="20" s="1"/>
  <c r="Y62" i="9"/>
  <c r="AB29" i="9" s="1"/>
  <c r="AD14" i="4"/>
  <c r="AC12" i="7"/>
  <c r="AC12" i="9" s="1"/>
  <c r="AC12" i="5"/>
  <c r="AC43" i="5" s="1"/>
  <c r="AC60" i="5" s="1"/>
  <c r="L6" i="20"/>
  <c r="AB40" i="9"/>
  <c r="AB57" i="9" s="1"/>
  <c r="L7" i="20"/>
  <c r="AB41" i="9"/>
  <c r="AB58" i="9" s="1"/>
  <c r="AB42" i="9"/>
  <c r="AB59" i="9" s="1"/>
  <c r="L8" i="20"/>
  <c r="AC13" i="5"/>
  <c r="AC44" i="5" s="1"/>
  <c r="AC61" i="5" s="1"/>
  <c r="AC13" i="7"/>
  <c r="AC13" i="9" s="1"/>
  <c r="AC7" i="5"/>
  <c r="AC38" i="5" s="1"/>
  <c r="AC55" i="5" s="1"/>
  <c r="AC7" i="7"/>
  <c r="AC7" i="9" s="1"/>
  <c r="AB54" i="5"/>
  <c r="AA55" i="9"/>
  <c r="AB38" i="9"/>
  <c r="AB55" i="9" s="1"/>
  <c r="L4" i="20"/>
  <c r="AB56" i="9" l="1"/>
  <c r="AB43" i="9"/>
  <c r="AB60" i="9" s="1"/>
  <c r="L9" i="20"/>
  <c r="AD6" i="7"/>
  <c r="AD6" i="9" s="1"/>
  <c r="AD6" i="5"/>
  <c r="AD37" i="5" s="1"/>
  <c r="AD11" i="5"/>
  <c r="AD42" i="5" s="1"/>
  <c r="AD11" i="7"/>
  <c r="AD11" i="9" s="1"/>
  <c r="AD13" i="7"/>
  <c r="AD13" i="9" s="1"/>
  <c r="AD13" i="5"/>
  <c r="AD44" i="5" s="1"/>
  <c r="L11" i="20"/>
  <c r="AB45" i="9"/>
  <c r="AB62" i="9" s="1"/>
  <c r="AC57" i="5"/>
  <c r="M10" i="20"/>
  <c r="AC44" i="9"/>
  <c r="AC61" i="9" s="1"/>
  <c r="AD9" i="7"/>
  <c r="AD9" i="9" s="1"/>
  <c r="AD9" i="5"/>
  <c r="AD40" i="5" s="1"/>
  <c r="M9" i="20"/>
  <c r="AC43" i="9"/>
  <c r="AC60" i="9" s="1"/>
  <c r="AD15" i="5"/>
  <c r="AD46" i="5" s="1"/>
  <c r="AD63" i="5" s="1"/>
  <c r="AD15" i="7"/>
  <c r="AD15" i="9" s="1"/>
  <c r="AD7" i="5"/>
  <c r="AD38" i="5" s="1"/>
  <c r="AD7" i="7"/>
  <c r="AD7" i="9" s="1"/>
  <c r="G23" i="20"/>
  <c r="M7" i="20"/>
  <c r="AC41" i="9"/>
  <c r="AC39" i="9"/>
  <c r="AC56" i="9" s="1"/>
  <c r="M5" i="20"/>
  <c r="AD10" i="7"/>
  <c r="AD10" i="9" s="1"/>
  <c r="AD10" i="5"/>
  <c r="AD41" i="5" s="1"/>
  <c r="AC42" i="9"/>
  <c r="AC59" i="9" s="1"/>
  <c r="M8" i="20"/>
  <c r="M4" i="20"/>
  <c r="AC38" i="9"/>
  <c r="AC14" i="5"/>
  <c r="AC45" i="5" s="1"/>
  <c r="AC62" i="5" s="1"/>
  <c r="AC14" i="7"/>
  <c r="AC14" i="9" s="1"/>
  <c r="AE14" i="4"/>
  <c r="AD12" i="7"/>
  <c r="AD12" i="9" s="1"/>
  <c r="AD12" i="5"/>
  <c r="AD43" i="5" s="1"/>
  <c r="AD60" i="5" s="1"/>
  <c r="AD8" i="7"/>
  <c r="AD8" i="9" s="1"/>
  <c r="AD8" i="5"/>
  <c r="AD39" i="5" s="1"/>
  <c r="AF7" i="4"/>
  <c r="AF11" i="4"/>
  <c r="AF8" i="4"/>
  <c r="AF9" i="4"/>
  <c r="AF15" i="4"/>
  <c r="AF10" i="4"/>
  <c r="AF13" i="4"/>
  <c r="AF6" i="4"/>
  <c r="AC37" i="9"/>
  <c r="AC54" i="9" s="1"/>
  <c r="M3" i="20"/>
  <c r="M12" i="20"/>
  <c r="AC46" i="9"/>
  <c r="AC40" i="9"/>
  <c r="M6" i="20"/>
  <c r="AD58" i="5" l="1"/>
  <c r="AD55" i="5"/>
  <c r="AD61" i="5"/>
  <c r="AD54" i="5"/>
  <c r="AD56" i="5"/>
  <c r="AD57" i="5"/>
  <c r="AD59" i="5"/>
  <c r="AE10" i="7"/>
  <c r="AE10" i="9" s="1"/>
  <c r="AE41" i="9" s="1"/>
  <c r="AE10" i="5"/>
  <c r="AE41" i="5" s="1"/>
  <c r="AE6" i="7"/>
  <c r="AE6" i="9" s="1"/>
  <c r="AE37" i="9" s="1"/>
  <c r="AE6" i="5"/>
  <c r="AE37" i="5" s="1"/>
  <c r="AE7" i="5"/>
  <c r="AE38" i="5" s="1"/>
  <c r="AE7" i="7"/>
  <c r="AE7" i="9" s="1"/>
  <c r="AE38" i="9" s="1"/>
  <c r="AC58" i="9"/>
  <c r="AE13" i="7"/>
  <c r="AE13" i="9" s="1"/>
  <c r="AE44" i="9" s="1"/>
  <c r="AE13" i="5"/>
  <c r="AE44" i="5" s="1"/>
  <c r="AD44" i="9"/>
  <c r="N10" i="20"/>
  <c r="D34" i="20"/>
  <c r="F34" i="20" s="1"/>
  <c r="AD37" i="9"/>
  <c r="D27" i="20"/>
  <c r="F27" i="20" s="1"/>
  <c r="N3" i="20"/>
  <c r="D39" i="20" s="1"/>
  <c r="AE11" i="5"/>
  <c r="AE42" i="5" s="1"/>
  <c r="AE11" i="7"/>
  <c r="AE11" i="9" s="1"/>
  <c r="AE42" i="9" s="1"/>
  <c r="D28" i="20"/>
  <c r="F28" i="20" s="1"/>
  <c r="N4" i="20"/>
  <c r="D40" i="20" s="1"/>
  <c r="AD38" i="9"/>
  <c r="AC57" i="9"/>
  <c r="AC63" i="9"/>
  <c r="AE15" i="5"/>
  <c r="AE46" i="5" s="1"/>
  <c r="AE63" i="5" s="1"/>
  <c r="AE15" i="7"/>
  <c r="AE15" i="9" s="1"/>
  <c r="AE46" i="9" s="1"/>
  <c r="N9" i="20"/>
  <c r="D45" i="20" s="1"/>
  <c r="AD43" i="9"/>
  <c r="D33" i="20"/>
  <c r="F33" i="20" s="1"/>
  <c r="AC55" i="9"/>
  <c r="AE9" i="7"/>
  <c r="AE9" i="9" s="1"/>
  <c r="AE40" i="9" s="1"/>
  <c r="AE9" i="5"/>
  <c r="AE40" i="5" s="1"/>
  <c r="AD14" i="5"/>
  <c r="AD45" i="5" s="1"/>
  <c r="AD62" i="5" s="1"/>
  <c r="AD14" i="7"/>
  <c r="AD14" i="9" s="1"/>
  <c r="N7" i="20"/>
  <c r="D43" i="20" s="1"/>
  <c r="D31" i="20"/>
  <c r="F31" i="20" s="1"/>
  <c r="AD41" i="9"/>
  <c r="AD46" i="9"/>
  <c r="D36" i="20"/>
  <c r="F36" i="20" s="1"/>
  <c r="N12" i="20"/>
  <c r="AF12" i="4"/>
  <c r="AE8" i="7"/>
  <c r="AE8" i="9" s="1"/>
  <c r="AE39" i="9" s="1"/>
  <c r="AE56" i="9" s="1"/>
  <c r="AE8" i="5"/>
  <c r="AE39" i="5" s="1"/>
  <c r="N5" i="20"/>
  <c r="D41" i="20" s="1"/>
  <c r="D29" i="20"/>
  <c r="F29" i="20" s="1"/>
  <c r="AD39" i="9"/>
  <c r="AC45" i="9"/>
  <c r="AC62" i="9" s="1"/>
  <c r="M11" i="20"/>
  <c r="D30" i="20"/>
  <c r="F30" i="20" s="1"/>
  <c r="AD40" i="9"/>
  <c r="N6" i="20"/>
  <c r="AD42" i="9"/>
  <c r="D32" i="20"/>
  <c r="F32" i="20" s="1"/>
  <c r="N8" i="20"/>
  <c r="D44" i="20" s="1"/>
  <c r="AE55" i="9" l="1"/>
  <c r="AE54" i="9"/>
  <c r="AE12" i="7"/>
  <c r="AE12" i="9" s="1"/>
  <c r="AE43" i="9" s="1"/>
  <c r="AE60" i="9" s="1"/>
  <c r="AE12" i="5"/>
  <c r="AE43" i="5" s="1"/>
  <c r="AE60" i="5" s="1"/>
  <c r="E43" i="20"/>
  <c r="E19" i="20"/>
  <c r="H19" i="20" s="1"/>
  <c r="AD58" i="9"/>
  <c r="E20" i="20"/>
  <c r="H20" i="20" s="1"/>
  <c r="AD59" i="9"/>
  <c r="E44" i="20"/>
  <c r="AE57" i="5"/>
  <c r="E22" i="20"/>
  <c r="H22" i="20" s="1"/>
  <c r="E46" i="20"/>
  <c r="AD61" i="9"/>
  <c r="AE56" i="5"/>
  <c r="AE57" i="9"/>
  <c r="AE59" i="9"/>
  <c r="AD54" i="9"/>
  <c r="E39" i="20"/>
  <c r="E15" i="20"/>
  <c r="H15" i="20" s="1"/>
  <c r="AE61" i="5"/>
  <c r="AE55" i="5"/>
  <c r="AE58" i="5"/>
  <c r="AE54" i="5"/>
  <c r="E45" i="20"/>
  <c r="E21" i="20"/>
  <c r="H21" i="20" s="1"/>
  <c r="AD60" i="9"/>
  <c r="E18" i="20"/>
  <c r="H18" i="20" s="1"/>
  <c r="AD57" i="9"/>
  <c r="E42" i="20"/>
  <c r="AD56" i="9"/>
  <c r="E17" i="20"/>
  <c r="H17" i="20" s="1"/>
  <c r="E41" i="20"/>
  <c r="E48" i="20"/>
  <c r="AD63" i="9"/>
  <c r="E24" i="20"/>
  <c r="H24" i="20" s="1"/>
  <c r="D35" i="20"/>
  <c r="F35" i="20" s="1"/>
  <c r="N11" i="20"/>
  <c r="D47" i="20" s="1"/>
  <c r="AD45" i="9"/>
  <c r="AE63" i="9"/>
  <c r="AD55" i="9"/>
  <c r="E16" i="20"/>
  <c r="H16" i="20" s="1"/>
  <c r="E40" i="20"/>
  <c r="AE59" i="5"/>
  <c r="AE61" i="9"/>
  <c r="AF14" i="4"/>
  <c r="AE58" i="9"/>
  <c r="AE14" i="7" l="1"/>
  <c r="AE14" i="9" s="1"/>
  <c r="AE45" i="9" s="1"/>
  <c r="AE62" i="9" s="1"/>
  <c r="AE14" i="5"/>
  <c r="AE45" i="5" s="1"/>
  <c r="AE62" i="5" s="1"/>
  <c r="AD62" i="9"/>
  <c r="E23" i="20"/>
  <c r="H23" i="20" s="1"/>
  <c r="E47" i="20"/>
</calcChain>
</file>

<file path=xl/sharedStrings.xml><?xml version="1.0" encoding="utf-8"?>
<sst xmlns="http://schemas.openxmlformats.org/spreadsheetml/2006/main" count="2074" uniqueCount="436">
  <si>
    <t>Core Crown Expenses</t>
  </si>
  <si>
    <t>1993⁸‡</t>
  </si>
  <si>
    <t>1994⁸‡</t>
  </si>
  <si>
    <t>1995⁸‡</t>
  </si>
  <si>
    <t>1996⁸‡</t>
  </si>
  <si>
    <t>1997⁸‡</t>
  </si>
  <si>
    <t>1998⁸‡</t>
  </si>
  <si>
    <t>1999⁸‡</t>
  </si>
  <si>
    <t>2000⁸‡</t>
  </si>
  <si>
    <t>2001⁷‡ⁱ</t>
  </si>
  <si>
    <t>2002⁷‡</t>
  </si>
  <si>
    <t>2003⁶</t>
  </si>
  <si>
    <t>2004⁵</t>
  </si>
  <si>
    <t>2005⁵</t>
  </si>
  <si>
    <t>2006⁵</t>
  </si>
  <si>
    <t>2007⁵</t>
  </si>
  <si>
    <t>2008⁴</t>
  </si>
  <si>
    <t>2009³</t>
  </si>
  <si>
    <t>2010³</t>
  </si>
  <si>
    <t>2011³</t>
  </si>
  <si>
    <t>2012³</t>
  </si>
  <si>
    <t>2013³</t>
  </si>
  <si>
    <t>2015²</t>
  </si>
  <si>
    <t>2016¹</t>
  </si>
  <si>
    <t>Actual</t>
  </si>
  <si>
    <t>$m</t>
  </si>
  <si>
    <t>By functional classification</t>
  </si>
  <si>
    <t>Defence</t>
  </si>
  <si>
    <t>Education</t>
  </si>
  <si>
    <t>Finance costs</t>
  </si>
  <si>
    <t>Health</t>
  </si>
  <si>
    <t>Law and order</t>
  </si>
  <si>
    <t>Welfare</t>
  </si>
  <si>
    <t>NZ super</t>
  </si>
  <si>
    <t>All other</t>
  </si>
  <si>
    <t>Total core Crown expenses excluding losses</t>
  </si>
  <si>
    <t>Notes:</t>
  </si>
  <si>
    <t>*Not present before 2008. BEFU 2013 Crown Expense Tables extracted "Environmental Protection" from "Heritage, Culture and Recreation" back to 2008</t>
  </si>
  <si>
    <t>†Category not included later than 2002 due to adjustment in the BEFU 2008 to historical figures on a NZ IFRS basis for material changes.</t>
  </si>
  <si>
    <t>‡Historical figures later than 2003 have been adjusted by the BEFU 2008 on a NZ IFRS basis for material changes. Figures later than 2003 have not been likewise adjusted.</t>
  </si>
  <si>
    <t xml:space="preserve">ⁱFigures for 2001 presented here were retrieved from Treasury's BEFU 2006. Figures there are inconsistent with those presented on Stats NZ's Infoshare website. The historical figures given in 2006 have been preferred. </t>
  </si>
  <si>
    <t>Sources:</t>
  </si>
  <si>
    <t>¹From http://www.treasury.govt.nz/budget/forecasts/hyefu2016/061.htm</t>
  </si>
  <si>
    <t>²From http://www.treasury.govt.nz/budget/forecasts/hyefu2015/058.htm</t>
  </si>
  <si>
    <t>³From http://www.treasury.govt.nz/budget/forecasts/befu2014/080.htm</t>
  </si>
  <si>
    <t>⁴From http://www.treasury.govt.nz/budget/forecasts/befu2013/079.htm</t>
  </si>
  <si>
    <t>⁵From http://www.treasury.govt.nz/budget/forecasts/befu2009/080.htm</t>
  </si>
  <si>
    <t>⁶From http://www.treasury.govt.nz/budget/forecasts/befu2008/58.htm</t>
  </si>
  <si>
    <t>⁷From http://www.treasury.govt.nz/budget/2006/pdfs/befu06-exp.pdf</t>
  </si>
  <si>
    <t>⁸From http://www.stats.govt.nz/infoshare/ViewTable.aspx?pxID=37f87e16-6870-4143-84b0-f4b48eda98ba</t>
  </si>
  <si>
    <t>Annual</t>
  </si>
  <si>
    <t>$ per capita</t>
  </si>
  <si>
    <t>Weekly</t>
  </si>
  <si>
    <t xml:space="preserve">$ per week </t>
  </si>
  <si>
    <t>per capita</t>
  </si>
  <si>
    <t>Percent</t>
  </si>
  <si>
    <t>%</t>
  </si>
  <si>
    <t>Share of total</t>
  </si>
  <si>
    <t>Real spending in 2016 dollars</t>
  </si>
  <si>
    <t>Real</t>
  </si>
  <si>
    <t>Annual in 2016 dollars</t>
  </si>
  <si>
    <t>Percentage point change in real per capita spendng shares</t>
  </si>
  <si>
    <t>5th Labour</t>
  </si>
  <si>
    <t>5th National</t>
  </si>
  <si>
    <t>Real per capita growth rates</t>
  </si>
  <si>
    <t>Annual growth rates</t>
  </si>
  <si>
    <t>Historic average (1993 to 2016</t>
  </si>
  <si>
    <t>Since 2009</t>
  </si>
  <si>
    <t>2009 to 2016</t>
  </si>
  <si>
    <t>2016 to 2017</t>
  </si>
  <si>
    <t>2016 to 2021</t>
  </si>
  <si>
    <t>Core govt services</t>
  </si>
  <si>
    <t>Function</t>
  </si>
  <si>
    <t>Average over budget</t>
  </si>
  <si>
    <t>Total crown</t>
  </si>
  <si>
    <t>Tax revenue</t>
  </si>
  <si>
    <t>Other revenue</t>
  </si>
  <si>
    <t>Total Revenue</t>
  </si>
  <si>
    <t>Expenses</t>
  </si>
  <si>
    <t>OBEGAL</t>
  </si>
  <si>
    <t>Total</t>
  </si>
  <si>
    <t>65+</t>
  </si>
  <si>
    <t>Source</t>
  </si>
  <si>
    <t xml:space="preserve">DPEA.SG1CTOTJ </t>
  </si>
  <si>
    <t>Projections</t>
  </si>
  <si>
    <t>2017</t>
  </si>
  <si>
    <t>2018</t>
  </si>
  <si>
    <t>2019</t>
  </si>
  <si>
    <t>2020</t>
  </si>
  <si>
    <t>2021</t>
  </si>
  <si>
    <t>2022</t>
  </si>
  <si>
    <t>2023</t>
  </si>
  <si>
    <t>All groups</t>
  </si>
  <si>
    <t>2016 $</t>
  </si>
  <si>
    <t xml:space="preserve">Table information: </t>
  </si>
  <si>
    <t>Units:</t>
  </si>
  <si>
    <t>Index, Magnitude = Units</t>
  </si>
  <si>
    <t>Footnotes:</t>
  </si>
  <si>
    <t>From the September 1999 quarter residential sections and interest are excluded.</t>
  </si>
  <si>
    <t>Percentage changes are calculated from index numbers which are unrounded prior to the June 2006 quarter.</t>
  </si>
  <si>
    <t>Base: June 2006 quarter (=1000).</t>
  </si>
  <si>
    <t>From the September 2006 quarter, prices for fresh fruit and vegetables are seasonally unadjusted. They were seasonally adjusted until the June 2006 quarter.</t>
  </si>
  <si>
    <t>Symbols:</t>
  </si>
  <si>
    <t>.. figure not available</t>
  </si>
  <si>
    <t>C: Confidential</t>
  </si>
  <si>
    <t>E: Early Estimate</t>
  </si>
  <si>
    <t>P: Provisional</t>
  </si>
  <si>
    <t>R: Revised</t>
  </si>
  <si>
    <t>S: Suppressed</t>
  </si>
  <si>
    <t>Status flags are not displayed</t>
  </si>
  <si>
    <t>Table reference:</t>
  </si>
  <si>
    <t>CPI009AA</t>
  </si>
  <si>
    <t>Last updated:</t>
  </si>
  <si>
    <t>20 April 2017 10:45am</t>
  </si>
  <si>
    <t>Source: Statistics New Zealand</t>
  </si>
  <si>
    <t>Contact: Information Centre</t>
  </si>
  <si>
    <t>Telephone: 0508 525 525</t>
  </si>
  <si>
    <t>Email:info@stats.govt.nz</t>
  </si>
  <si>
    <t>New Zealand Superannuation</t>
  </si>
  <si>
    <t>Growth rate in NZ super pre1999</t>
  </si>
  <si>
    <t>.</t>
  </si>
  <si>
    <t>Economic and industrial services</t>
  </si>
  <si>
    <t>Environmental protection*</t>
  </si>
  <si>
    <t>GSF pension expenses</t>
  </si>
  <si>
    <t>..</t>
  </si>
  <si>
    <t>Heritage, culture and recreation</t>
  </si>
  <si>
    <t>Housing and community development</t>
  </si>
  <si>
    <t>Net foreign exchange gains/losses†</t>
  </si>
  <si>
    <t> .. </t>
  </si>
  <si>
    <t>Other</t>
  </si>
  <si>
    <t>Primary services</t>
  </si>
  <si>
    <t>Social security and welfare</t>
  </si>
  <si>
    <t>Transport and communications</t>
  </si>
  <si>
    <t>Forecast Fiscal Year (year from 1 July to the following 30 June)</t>
  </si>
  <si>
    <t>2016/17</t>
  </si>
  <si>
    <t>2017/18</t>
  </si>
  <si>
    <t>2018/19</t>
  </si>
  <si>
    <t>2019/20</t>
  </si>
  <si>
    <t>2020/21</t>
  </si>
  <si>
    <t>Forecast New Operating Spending ($ billions)</t>
  </si>
  <si>
    <t>Top-down expense adjustment ($ billions)</t>
  </si>
  <si>
    <t>Total unallocated new operating spending ($ billions)</t>
  </si>
  <si>
    <t>Allocation</t>
  </si>
  <si>
    <t>CORE CROWN EXPENDITURE CLASS</t>
  </si>
  <si>
    <t>Percentage</t>
  </si>
  <si>
    <t>Core government services</t>
  </si>
  <si>
    <t>Environmental protection</t>
  </si>
  <si>
    <t>Social security and welfare departmental and non-departmental</t>
  </si>
  <si>
    <t>2017 to 2018</t>
  </si>
  <si>
    <t>2017 to 2021</t>
  </si>
  <si>
    <t>2017 to 2016</t>
  </si>
  <si>
    <t>ALLOCATION OF FORECAST NEW OPERATING SPENDING TO EXPENDITURE CATEGORIES</t>
  </si>
  <si>
    <t>In some situations it may be desirable to project core Crown expenditure classes with their shares of the Forecast New Operating Spending (often referred to as the</t>
  </si>
  <si>
    <t>Operating Allowances) and the Top-down expense adjustment allocated to them. The allocations are normally based on historical expense shares although different</t>
  </si>
  <si>
    <t>amounts can be used if spending plans are actually known.</t>
  </si>
  <si>
    <t>All monetary values, unless otherwise stated, are in units of billions of New Zealand dollars</t>
  </si>
  <si>
    <t>2021/22</t>
  </si>
  <si>
    <t>Total Core Crown expenditure allocation ($ billions)</t>
  </si>
  <si>
    <t>Forecast New Capital Spending ($ billions)</t>
  </si>
  <si>
    <t>Top-down capital adjustment ($ billions)</t>
  </si>
  <si>
    <t>Total unallocated new capital spending ($ billions)</t>
  </si>
  <si>
    <t>FISCAL HISTORICAL AND FORECAST DATA</t>
  </si>
  <si>
    <t>Historical and forecast data in this worksheet are produced by the Treasury. They are used in the main modelling worksheets of the Fiscal Strategy Model.</t>
  </si>
  <si>
    <t>Historical data sourced from Treasury past Budget publications</t>
  </si>
  <si>
    <t xml:space="preserve">Forecast data sourced from Treasury publication of latest Economic &amp; Fiscal Update </t>
  </si>
  <si>
    <t>2017 Half Year Economic &amp; Fiscal Update (HYEFU) forecast from 2017/18 onwards</t>
  </si>
  <si>
    <t>Year ended 30 June</t>
  </si>
  <si>
    <t>2014/15</t>
  </si>
  <si>
    <t>2015/16</t>
  </si>
  <si>
    <t>STATEMENT OF FINANCIAL PERFORMANCE</t>
  </si>
  <si>
    <t>Taxation revenue</t>
  </si>
  <si>
    <t>NAC</t>
  </si>
  <si>
    <t>Other sovereign revenue</t>
  </si>
  <si>
    <t>Sales of goods and services</t>
  </si>
  <si>
    <t>UIM</t>
  </si>
  <si>
    <t>Interest revenue and dividends</t>
  </si>
  <si>
    <t>Total revenue (excluding gains)</t>
  </si>
  <si>
    <t>Transfer payments and subsidies</t>
  </si>
  <si>
    <t>Personnel expenses</t>
  </si>
  <si>
    <t>Depreciation and amortisation</t>
  </si>
  <si>
    <t>Other operating expenses</t>
  </si>
  <si>
    <t>Interest expenses</t>
  </si>
  <si>
    <t>Insurance expenses</t>
  </si>
  <si>
    <t>Forecast new operating spending</t>
  </si>
  <si>
    <t>Top-down expense adjustment</t>
  </si>
  <si>
    <t>Total expenses (excluding losses)</t>
  </si>
  <si>
    <t>Minority share of operating balance before gains/losses</t>
  </si>
  <si>
    <t>Operating balance before gains/(losses) [OBEGAL] (excludes minority interests)</t>
  </si>
  <si>
    <t>Net gains/(losses) on financial instruments</t>
  </si>
  <si>
    <t>Net gains/(losses) on non-financial instruments</t>
  </si>
  <si>
    <t>Total gains/(losses)</t>
  </si>
  <si>
    <t>Minority interest share of net gains/(losses)</t>
  </si>
  <si>
    <t>Gains/(losses) (excluding minority interests)</t>
  </si>
  <si>
    <t>Net surplus/(deficit) from associates and joint ventures</t>
  </si>
  <si>
    <t>Operating balance (excludes minority interests)</t>
  </si>
  <si>
    <t>CHECK: Oper Bal (ex min ints) = OBEGAL (ex min ints) +Gains (ex min ints) +Net Surplus</t>
  </si>
  <si>
    <t>OK</t>
  </si>
  <si>
    <t>Operating Balance (including minority interest)</t>
  </si>
  <si>
    <t>Total Crown Expenses - By functional classification</t>
  </si>
  <si>
    <t>Government Superannuation Fund (GSF) pension expense</t>
  </si>
  <si>
    <t>Transport and communication</t>
  </si>
  <si>
    <t>Total Crown expenses (includes Forecast new operating spend &amp; Top-down adjustment)</t>
  </si>
  <si>
    <t>Core Crown Expenses - By functional classification</t>
  </si>
  <si>
    <t>Core Crown expenses (includes Forecast new operating spend &amp; Top-down adjustment)</t>
  </si>
  <si>
    <t>STATEMENT OF CASH FLOWS</t>
  </si>
  <si>
    <t>Taxation receipts</t>
  </si>
  <si>
    <t>Other sovereign receipts</t>
  </si>
  <si>
    <t>Interest and dividend receipts</t>
  </si>
  <si>
    <t>Other operating receipts</t>
  </si>
  <si>
    <t>Total cash provided from operations</t>
  </si>
  <si>
    <t>Personnel and operating payments</t>
  </si>
  <si>
    <t>Interest payments</t>
  </si>
  <si>
    <t>Cash disbursed to ops (includes Forecast new operating spend &amp; Top-down adjustment)</t>
  </si>
  <si>
    <t>Net cash flows from operations</t>
  </si>
  <si>
    <t>Net sales/(purchase) of physical assets</t>
  </si>
  <si>
    <t>Net sales/(purchase) of shares and other securities</t>
  </si>
  <si>
    <t>Net sales/(purchase) of intangible assets</t>
  </si>
  <si>
    <t xml:space="preserve">Net repayment/(issue) of advances </t>
  </si>
  <si>
    <t>Net divestment/(acquisition) of investments in associates</t>
  </si>
  <si>
    <t>Net cash flow from investing (incl annual Forecast new capital spend &amp; Top-down adjust)</t>
  </si>
  <si>
    <t>Net cash flows from operating and investing activities</t>
  </si>
  <si>
    <t>Issues of circulating currency</t>
  </si>
  <si>
    <t xml:space="preserve">Net issue/(repayment) of government stock </t>
  </si>
  <si>
    <t xml:space="preserve">Net issue/(repayment) of foreign-currency borrowings </t>
  </si>
  <si>
    <t xml:space="preserve">Net issue/(repayment) of other New Zealand dollar borrowings </t>
  </si>
  <si>
    <t>Dividends received from/(paid to) minority interests</t>
  </si>
  <si>
    <t>Net cash flows from financing activities</t>
  </si>
  <si>
    <t>Net movement in cash</t>
  </si>
  <si>
    <t>Foreign exchange gains/(losses) on opening cash balance</t>
  </si>
  <si>
    <t>CHECK: Annual change in Cash asset =Net movement in cash +Forex gains/(losses)</t>
  </si>
  <si>
    <t>Reconciliation: Between Net cash flows from operations and the Operating balance</t>
  </si>
  <si>
    <t>Net cash flows from operations plus Total gains/(losses)</t>
  </si>
  <si>
    <t>Cost of concessionary lending</t>
  </si>
  <si>
    <t>Impairment on financial assets (excludes receivables)</t>
  </si>
  <si>
    <t>Decrease/(increase) in defined benefit retirement plan liabilities</t>
  </si>
  <si>
    <t>Decrease/(increase) in insurance liabilities</t>
  </si>
  <si>
    <t>Total other non-cash items (includes Depreciation &amp; amortisation)</t>
  </si>
  <si>
    <t>Increase/(decrease) in receivables</t>
  </si>
  <si>
    <t>Increase/(decrease) in accrued interest</t>
  </si>
  <si>
    <t>Increase/(decrease) in inventories</t>
  </si>
  <si>
    <t>Increase/(decrease) in prepayments</t>
  </si>
  <si>
    <t>Decrease/(increase) in deferred revenue</t>
  </si>
  <si>
    <t>Decrease/(increase) in payables/provisions</t>
  </si>
  <si>
    <t>Total movements in working capital</t>
  </si>
  <si>
    <t>CHECK: Op Bal (excl Min Ints) = Op cash +Gains +Non-cash items +Movements in WC</t>
  </si>
  <si>
    <t>STATEMENT OF FINANCIAL POSITION</t>
  </si>
  <si>
    <t>Cash and cash equivalents</t>
  </si>
  <si>
    <t>Receivables</t>
  </si>
  <si>
    <t>Marketable securities, deposits and derivatives in gain</t>
  </si>
  <si>
    <t>Share investments</t>
  </si>
  <si>
    <t>Advances</t>
  </si>
  <si>
    <t>Inventory</t>
  </si>
  <si>
    <t>Other assets</t>
  </si>
  <si>
    <t xml:space="preserve">Property, plant and equipment </t>
  </si>
  <si>
    <t>Equity accounted investments</t>
  </si>
  <si>
    <t>Intangible assets and goodwill</t>
  </si>
  <si>
    <t>Forecast for new capital spending</t>
  </si>
  <si>
    <t>Top-down capital adjustment</t>
  </si>
  <si>
    <t>Total assets</t>
  </si>
  <si>
    <t>Issued currency</t>
  </si>
  <si>
    <t>Payables</t>
  </si>
  <si>
    <t>Deferred revenue</t>
  </si>
  <si>
    <t>Borrowings</t>
  </si>
  <si>
    <t>Insurance liabilities</t>
  </si>
  <si>
    <t>Retirement plan liabilities</t>
  </si>
  <si>
    <t>Provisions</t>
  </si>
  <si>
    <t>Total liabilities</t>
  </si>
  <si>
    <t>Total net worth</t>
  </si>
  <si>
    <t>CHECK: Net worth =Total assets - Total liabilities</t>
  </si>
  <si>
    <t>Net worth attributable to minority interest</t>
  </si>
  <si>
    <t>STATEMENT OF BORROWINGS</t>
  </si>
  <si>
    <t>Core crown borrowings</t>
  </si>
  <si>
    <t>Less New Zealand Superannuation Fund (NZSF) borrowings</t>
  </si>
  <si>
    <t>Gross sovereign-issued debt (GSID)</t>
  </si>
  <si>
    <t>Less core Crown financial assets (excluding receivables)</t>
  </si>
  <si>
    <t>Net core Crown debt</t>
  </si>
  <si>
    <t>Add back core Crown advances (excl. NZSF advances)</t>
  </si>
  <si>
    <t>Add back NZSF financial assets (excl. receivables)</t>
  </si>
  <si>
    <t>Net core Crown debt (excluding NZSF and advances)</t>
  </si>
  <si>
    <t>CHECK: Net Debt excluding NZSF &amp; advances =GSID -CCFA +advs +NZSF FA</t>
  </si>
  <si>
    <t>STATEMENT OF SEGMENTS - CORE CROWN SECTION</t>
  </si>
  <si>
    <t>Core Crown revenue</t>
  </si>
  <si>
    <t>CHECK: CC revenue =Tax +Other sovereign +Sales of g&amp;s +Interest +Other revenue</t>
  </si>
  <si>
    <t>Social assistance and official development assistance</t>
  </si>
  <si>
    <t xml:space="preserve">Personnel expenses </t>
  </si>
  <si>
    <t xml:space="preserve">Other operating expenses </t>
  </si>
  <si>
    <t>Core Crown expenses</t>
  </si>
  <si>
    <t>CHECK: CC exps =SA&amp;ODA +Persnl +Other op +Int +Insur +Fcst new op spend &amp;T-d adj</t>
  </si>
  <si>
    <t>Core Crown operating balance</t>
  </si>
  <si>
    <t>CHECK: CC op balance =Revenue -Expenses +Total gains/(losses) +Net surp/(def) A&amp;JV</t>
  </si>
  <si>
    <t>Inventory and other assets</t>
  </si>
  <si>
    <t>Core Crown assets</t>
  </si>
  <si>
    <t>CHECK: CC assets =Cash+Rec+MSD+SI+Adv+PPE+EAI+IG+IO+Fcst new cap sp &amp;T-d adj</t>
  </si>
  <si>
    <t>Core Crown liabilities</t>
  </si>
  <si>
    <t>CHECK: CC liabilities =Issued currency +Borrowings +Paybls +Def rev +IL +RPL +Provs</t>
  </si>
  <si>
    <t>Core Crown net worth</t>
  </si>
  <si>
    <t>CC financial assets from Statement of Borrowings =Cash +MSDs +Shares +Advances</t>
  </si>
  <si>
    <t>STATEMENT OF SEGMENTS -CROWN ENTITY (CE) STATE-OWNED ENTERPRISE (SOE)</t>
  </si>
  <si>
    <t>CE insurance expenses</t>
  </si>
  <si>
    <t>SOE insurance expenses</t>
  </si>
  <si>
    <t>Inter-segment elimination for insurance expenses</t>
  </si>
  <si>
    <t>CHECK: Insurance expenses in Statement of Financial Performance =Sum of segments</t>
  </si>
  <si>
    <t>CE social security and welfare</t>
  </si>
  <si>
    <t>CE health expenses</t>
  </si>
  <si>
    <t>CE education expenses</t>
  </si>
  <si>
    <t>SOE education expenses</t>
  </si>
  <si>
    <t>CE transport and communications expenses</t>
  </si>
  <si>
    <t>SOE transport and communications expenses</t>
  </si>
  <si>
    <t>CE other non-finance expenses (excluding welfare, health, education &amp; transport)</t>
  </si>
  <si>
    <t>SOE other non-finance expenses (excluding welfare, health, education &amp; transport)</t>
  </si>
  <si>
    <t>Inter-segment elimination for other non-finance exps (excl welfare, health, education &amp; transport)</t>
  </si>
  <si>
    <t>CE marketable securities, deposits and derivatives in gain</t>
  </si>
  <si>
    <t>SOE marketable securities, deposits and derivatives in gain</t>
  </si>
  <si>
    <t>CE share investments</t>
  </si>
  <si>
    <t>SOE share investments</t>
  </si>
  <si>
    <t>NOTES TO THE FINANCIAL STATEMENTS</t>
  </si>
  <si>
    <t>Taxation revenue (accrual)</t>
  </si>
  <si>
    <t>Source deductions</t>
  </si>
  <si>
    <t>Corporate tax</t>
  </si>
  <si>
    <t>Total goods and services tax (GST)</t>
  </si>
  <si>
    <t>Hypothecated transport taxes</t>
  </si>
  <si>
    <t>Remaining tax types</t>
  </si>
  <si>
    <t>CHECK: Tax revenue in Statement of Financial Performance =Sum of tax types</t>
  </si>
  <si>
    <t>Other sovereign revenue (accrual)</t>
  </si>
  <si>
    <t>Accident Compensation Corporation (ACC) levies</t>
  </si>
  <si>
    <t>Remaining other sovereign revenue types</t>
  </si>
  <si>
    <t>CHECK: Other sovereign rev in Statement of Financial Performance =Sum of OSR types</t>
  </si>
  <si>
    <t>Crown entities</t>
  </si>
  <si>
    <t>State-owned Enterprises</t>
  </si>
  <si>
    <t>Inter-segment eliminations</t>
  </si>
  <si>
    <t>CHECK: Interest rev in Statement of Financial Performance =Sum of segments</t>
  </si>
  <si>
    <t>Jobseeker support and Emergency benefit</t>
  </si>
  <si>
    <t>Supported living payment</t>
  </si>
  <si>
    <t>Sole parent support</t>
  </si>
  <si>
    <t>Working for Families tax credits</t>
  </si>
  <si>
    <t>Supplementary benefits</t>
  </si>
  <si>
    <t>Student allowances</t>
  </si>
  <si>
    <t>KiwiSaver</t>
  </si>
  <si>
    <t>Official development assistance</t>
  </si>
  <si>
    <t>CHECK: Transfer pmts &amp; subsidies in Statement of Financial Performance =Sum of types</t>
  </si>
  <si>
    <t>CHECK: Personnel expenses in Statement of Financial Performance =Sum of segments</t>
  </si>
  <si>
    <t>Depreciation and Amortisation</t>
  </si>
  <si>
    <t>Core Crown</t>
  </si>
  <si>
    <t>CHECK: Deprecn &amp; Amortsn in Statement of Financial Performance =Sum of segments</t>
  </si>
  <si>
    <t>Other Operating expenses (excludes Depreciation &amp; Amortisation)</t>
  </si>
  <si>
    <t>CHECK: Other Oper expenses in Statement of Financial Performance =Sum of segments</t>
  </si>
  <si>
    <t>Finance costs (Interest expenses)</t>
  </si>
  <si>
    <t>CHECK: Interest expenses in Statement of Financial Performance =Sum of segments</t>
  </si>
  <si>
    <t>Accident Compensation Corporation (ACC)</t>
  </si>
  <si>
    <t>Earthquake Commission (EQC)</t>
  </si>
  <si>
    <t>Other (includes inter-segment eliminations)</t>
  </si>
  <si>
    <t>CHECK: Insurance expenses in Statement of Financial Performance =Sum of types</t>
  </si>
  <si>
    <t>Unallocated contingencies</t>
  </si>
  <si>
    <t>Forecast new operating spending for second forecast year</t>
  </si>
  <si>
    <t>Forecast new operating spending for third forecast year</t>
  </si>
  <si>
    <t>Forecast new operating spending for fourth forecast year</t>
  </si>
  <si>
    <t>Forecast new operating spending for fifth forecast year</t>
  </si>
  <si>
    <t>CHECK: Forecast new oper spend in Statement of Financial Performance =Sum of years</t>
  </si>
  <si>
    <t>Forecast new capital spending</t>
  </si>
  <si>
    <t>Forecast new capital spending for first forecast year</t>
  </si>
  <si>
    <t>Forecast new capital spending for second forecast year</t>
  </si>
  <si>
    <t>Forecast new capital spending for third forecast year</t>
  </si>
  <si>
    <t>Forecast new capital spending for fourth forecast year</t>
  </si>
  <si>
    <t>Forecast new capital spending for fifth forecast year</t>
  </si>
  <si>
    <t>CHECK: Forecast new capital spending in Statement of Financial Position =Sum of years</t>
  </si>
  <si>
    <t>Total forecast new capital spending for forecast year</t>
  </si>
  <si>
    <t>Gains and losses on financial instruments</t>
  </si>
  <si>
    <t>State-owned enterprises</t>
  </si>
  <si>
    <t>CHECK: Gain/(loss) on fncl ins in Statement of Financial Performance =Sum of segments</t>
  </si>
  <si>
    <t>Gains and losses on non-financial instruments</t>
  </si>
  <si>
    <t>CHECK: Gain/(loss) on n-f ins in Statement of Financial Performance =Sum of segments</t>
  </si>
  <si>
    <t>Operating balance (excluding Minority interests)</t>
  </si>
  <si>
    <t>CHECK: Oper bal (excl Min ints) in Statement of Financial Performance=Sum of segments</t>
  </si>
  <si>
    <t>Receivables from Financial assets note</t>
  </si>
  <si>
    <t>Tax receivables</t>
  </si>
  <si>
    <t>Trade and other receivables</t>
  </si>
  <si>
    <t>CHECK: Receivables in Statement of Financial Position =Sum of Tax &amp; Trade versions</t>
  </si>
  <si>
    <t>Student Loans and Kiwibank mortgages from Financial assets note</t>
  </si>
  <si>
    <t>Student Loans</t>
  </si>
  <si>
    <t>Kiwibank mortgages</t>
  </si>
  <si>
    <t>Net new lending (excluding fees) in current year</t>
  </si>
  <si>
    <t>New lending establishment fees</t>
  </si>
  <si>
    <t>Less initial write-down to fair value</t>
  </si>
  <si>
    <t>Repayments made during the year</t>
  </si>
  <si>
    <t>Interest unwind</t>
  </si>
  <si>
    <t>(Impairment)/reversal of impairment</t>
  </si>
  <si>
    <t>CHECK: Student Loans in Financial assets note =Closing book value</t>
  </si>
  <si>
    <t>Property, plant and equipment (P,P&amp;E)</t>
  </si>
  <si>
    <t>CHECK: Property, plant &amp; equipmt in Statement of Financial Position =Sum of segments</t>
  </si>
  <si>
    <t>Schedule of movements</t>
  </si>
  <si>
    <t>Additions</t>
  </si>
  <si>
    <t>Disposals</t>
  </si>
  <si>
    <t>Net revaluations</t>
  </si>
  <si>
    <t>Other (mainly transfers to/from other asset categories)</t>
  </si>
  <si>
    <t>Closing balance of cost or valuation</t>
  </si>
  <si>
    <t>Eliminated on disposal</t>
  </si>
  <si>
    <t>Eliminated on revaluation</t>
  </si>
  <si>
    <t>Impairment losses charged to operating balance</t>
  </si>
  <si>
    <t>Depreciation expense</t>
  </si>
  <si>
    <t>Total accumulated depreciation and impairment</t>
  </si>
  <si>
    <t>CHECK: P,P&amp;E in Statement of Financial Position =Closing balance - Accum deprc &amp; impt</t>
  </si>
  <si>
    <t>CHECK: Intangible assets &amp;goodwill in Statement of Financial Position =Sum of segments</t>
  </si>
  <si>
    <t>New Zealand Superannuation Fund (NZS Fund)</t>
  </si>
  <si>
    <t>Revenue</t>
  </si>
  <si>
    <t>Less current tax expense</t>
  </si>
  <si>
    <t>Less other expenses</t>
  </si>
  <si>
    <t>Add gains/(losses)</t>
  </si>
  <si>
    <t>Gross capital contribution from the Crown</t>
  </si>
  <si>
    <t>Other movements in reserves</t>
  </si>
  <si>
    <t>Closing net worth</t>
  </si>
  <si>
    <t>Financial assets</t>
  </si>
  <si>
    <t>Financial liabilities</t>
  </si>
  <si>
    <t>Net other assets</t>
  </si>
  <si>
    <t>CHECK: Closing net worth =Sum of financial assets less liabilities and net other assets</t>
  </si>
  <si>
    <t>Accounts payable</t>
  </si>
  <si>
    <t>Taxes repayable</t>
  </si>
  <si>
    <t>CHECK: Payables in Statement of Financial Position =Sum of types</t>
  </si>
  <si>
    <t>Other (includes inter-segment elimination)</t>
  </si>
  <si>
    <t>CHECK: Insurance liabilities in Statement of Financial Position =Sum of types</t>
  </si>
  <si>
    <t>Core Crown (excluding NZS Fund) residual cash</t>
  </si>
  <si>
    <t>Tax receipts</t>
  </si>
  <si>
    <t>Interest, profits and dividends</t>
  </si>
  <si>
    <t>Sales of goods and services and other receipts</t>
  </si>
  <si>
    <t>Personnel and operating costs</t>
  </si>
  <si>
    <t>Net core Crown operating cash flows  (incl Forecast new oper spend &amp; Top-down adjust)</t>
  </si>
  <si>
    <t>Net sale/(purchase) of physical assets</t>
  </si>
  <si>
    <t>Net repayment/(issue) of advances</t>
  </si>
  <si>
    <t>Net sale/(purchase) of investments</t>
  </si>
  <si>
    <t>Net CC capital cash flows (incl NZS Fund contrb, ann. Fcast new cap spend &amp; T-d adjust)</t>
  </si>
  <si>
    <t>Core Crown Residual cash surplus/(deficit)</t>
  </si>
  <si>
    <t>CHECK: Residual cash =Sum of Core Crown operating and capital cash flows</t>
  </si>
  <si>
    <t>Total borrowing cash flows</t>
  </si>
  <si>
    <t>Net sale/(purchase) of marketable securities and deposits</t>
  </si>
  <si>
    <t>Decrease/(increase) in cash</t>
  </si>
  <si>
    <t>Total investing cash flows (incl issues of circulat currency from Statement of Cash Flows)</t>
  </si>
  <si>
    <t>Residual cash deficit/(surplus) funding or investing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</si>
</sst>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0.00_);_(&quot;$&quot;* \(#,##0.00\);_(&quot;$&quot;* &quot;-&quot;??_);_(@_)"/>
    <numFmt numFmtId="165" formatCode="_(* #,##0.00_);_(* \(#,##0.00\);_(* &quot;-&quot;??_);_(@_)"/>
    <numFmt numFmtId="166" formatCode="_-* #,##0_-;\-* #,##0_-;_-* &quot;-&quot;??_-;_-@_-"/>
    <numFmt numFmtId="167" formatCode="yyyy"/>
    <numFmt numFmtId="168" formatCode="0.0%"/>
    <numFmt numFmtId="169" formatCode="&quot;$&quot;#,##0.00"/>
    <numFmt numFmtId="170" formatCode="0.000"/>
    <numFmt numFmtId="171" formatCode="0.0"/>
    <numFmt numFmtId="172" formatCode="_(&quot;$&quot;* #,##0.0_);_(&quot;$&quot;* \(#,##0.0\);_(&quot;$&quot;* &quot;-&quot;??_);_(@_)"/>
  </numFmts>
  <fonts count="3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1"/>
      <color theme="1"/>
      <name val="Calibri"/>
      <family val="2"/>
    </font>
    <font>
      <sz val="10"/>
      <name val="Arial"/>
      <family val="2"/>
    </font>
    <font>
      <u/>
      <sz val="8"/>
      <name val="Verdana"/>
      <family val="2"/>
    </font>
    <font>
      <sz val="8"/>
      <name val="Verdana"/>
      <family val="2"/>
    </font>
    <font>
      <sz val="8"/>
      <name val="Arial"/>
      <family val="2"/>
    </font>
    <font>
      <b/>
      <sz val="11"/>
      <color rgb="FFFF0000"/>
      <name val="Calibri"/>
      <family val="2"/>
      <scheme val="minor"/>
    </font>
    <font>
      <b/>
      <sz val="18"/>
      <color theme="3"/>
      <name val="Calibri Light"/>
      <family val="2"/>
      <scheme val="major"/>
    </font>
    <font>
      <sz val="11"/>
      <color rgb="FF9C6500"/>
      <name val="Calibri"/>
      <family val="2"/>
      <scheme val="minor"/>
    </font>
    <font>
      <u/>
      <sz val="11"/>
      <color rgb="FF0000FF"/>
      <name val="Calibri"/>
      <family val="2"/>
      <scheme val="minor"/>
    </font>
    <font>
      <sz val="11"/>
      <color theme="1"/>
      <name val="Arial"/>
      <family val="2"/>
    </font>
    <font>
      <sz val="11"/>
      <color rgb="FFFF0000"/>
      <name val="Arial"/>
      <family val="2"/>
    </font>
    <font>
      <b/>
      <sz val="11"/>
      <color theme="1"/>
      <name val="Arial"/>
      <family val="2"/>
    </font>
    <font>
      <b/>
      <sz val="11"/>
      <color rgb="FFFF0000"/>
      <name val="Arial"/>
      <family val="2"/>
    </font>
    <font>
      <sz val="11"/>
      <color rgb="FF0000FF"/>
      <name val="Arial"/>
      <family val="2"/>
    </font>
    <font>
      <b/>
      <sz val="13"/>
      <color theme="1"/>
      <name val="Arial"/>
      <family val="2"/>
    </font>
    <font>
      <b/>
      <sz val="11"/>
      <name val="Arial"/>
      <family val="2"/>
    </font>
    <font>
      <u/>
      <sz val="11"/>
      <color theme="10"/>
      <name val="Calibri"/>
      <family val="2"/>
    </font>
    <font>
      <sz val="10"/>
      <color theme="1"/>
      <name val="Verdana"/>
      <family val="2"/>
    </font>
    <font>
      <i/>
      <sz val="11"/>
      <color theme="1"/>
      <name val="Arial"/>
      <family val="2"/>
    </font>
    <font>
      <sz val="10"/>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7F7F6"/>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right/>
      <top style="thin">
        <color indexed="64"/>
      </top>
      <bottom style="thin">
        <color indexed="64"/>
      </bottom>
      <diagonal/>
    </border>
  </borders>
  <cellStyleXfs count="52">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24" fillId="0" borderId="0" applyNumberFormat="0" applyFill="0" applyBorder="0" applyAlignment="0" applyProtection="0"/>
    <xf numFmtId="0" fontId="25"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alignment vertical="top"/>
      <protection locked="0"/>
    </xf>
    <xf numFmtId="0" fontId="1" fillId="0" borderId="0"/>
    <xf numFmtId="0" fontId="35" fillId="0" borderId="0"/>
    <xf numFmtId="9" fontId="35" fillId="0" borderId="0" applyFont="0" applyFill="0" applyBorder="0" applyAlignment="0" applyProtection="0"/>
  </cellStyleXfs>
  <cellXfs count="204">
    <xf numFmtId="0" fontId="0" fillId="0" borderId="0" xfId="0"/>
    <xf numFmtId="0" fontId="0" fillId="34" borderId="11" xfId="0" applyFill="1" applyBorder="1"/>
    <xf numFmtId="0" fontId="0" fillId="33" borderId="11" xfId="0" applyFill="1" applyBorder="1"/>
    <xf numFmtId="1" fontId="17" fillId="34" borderId="11" xfId="1" applyNumberFormat="1" applyFont="1" applyFill="1" applyBorder="1" applyAlignment="1"/>
    <xf numFmtId="1" fontId="17" fillId="33" borderId="11" xfId="1" applyNumberFormat="1" applyFont="1" applyFill="1" applyBorder="1" applyAlignment="1"/>
    <xf numFmtId="166" fontId="17" fillId="34" borderId="11" xfId="1" applyNumberFormat="1" applyFont="1" applyFill="1" applyBorder="1" applyAlignment="1"/>
    <xf numFmtId="166" fontId="17" fillId="33" borderId="11" xfId="1" applyNumberFormat="1" applyFont="1" applyFill="1" applyBorder="1" applyAlignment="1"/>
    <xf numFmtId="1" fontId="17" fillId="34" borderId="12" xfId="1" applyNumberFormat="1" applyFont="1" applyFill="1" applyBorder="1" applyAlignment="1"/>
    <xf numFmtId="166" fontId="17" fillId="0" borderId="0" xfId="1" applyNumberFormat="1" applyFont="1" applyAlignment="1"/>
    <xf numFmtId="0" fontId="0" fillId="34" borderId="14" xfId="0" applyFill="1" applyBorder="1"/>
    <xf numFmtId="0" fontId="0" fillId="33" borderId="14" xfId="0" applyFill="1" applyBorder="1"/>
    <xf numFmtId="3" fontId="0" fillId="34" borderId="14" xfId="0" applyNumberFormat="1" applyFill="1" applyBorder="1"/>
    <xf numFmtId="3" fontId="0" fillId="33" borderId="14" xfId="0" applyNumberFormat="1" applyFill="1" applyBorder="1"/>
    <xf numFmtId="0" fontId="0" fillId="34" borderId="15" xfId="0" applyFill="1" applyBorder="1"/>
    <xf numFmtId="166" fontId="16" fillId="33" borderId="16" xfId="1" applyNumberFormat="1" applyFont="1" applyFill="1" applyBorder="1" applyAlignment="1"/>
    <xf numFmtId="0" fontId="0" fillId="34" borderId="17" xfId="0" applyFill="1" applyBorder="1"/>
    <xf numFmtId="0" fontId="0" fillId="33" borderId="17" xfId="0" applyFill="1" applyBorder="1"/>
    <xf numFmtId="0" fontId="0" fillId="34" borderId="18" xfId="0" applyFill="1" applyBorder="1"/>
    <xf numFmtId="0" fontId="0" fillId="0" borderId="19" xfId="0" applyBorder="1"/>
    <xf numFmtId="166" fontId="0" fillId="33" borderId="20" xfId="1" applyNumberFormat="1" applyFont="1" applyFill="1" applyBorder="1"/>
    <xf numFmtId="166" fontId="0" fillId="34" borderId="21" xfId="1" applyNumberFormat="1" applyFont="1" applyFill="1" applyBorder="1"/>
    <xf numFmtId="166" fontId="0" fillId="33" borderId="21" xfId="1" applyNumberFormat="1" applyFont="1" applyFill="1" applyBorder="1"/>
    <xf numFmtId="166" fontId="0" fillId="34" borderId="22" xfId="1" applyNumberFormat="1" applyFont="1" applyFill="1" applyBorder="1"/>
    <xf numFmtId="166" fontId="0" fillId="0" borderId="0" xfId="1" applyNumberFormat="1" applyFont="1" applyBorder="1"/>
    <xf numFmtId="166" fontId="0" fillId="33" borderId="13" xfId="1" applyNumberFormat="1" applyFont="1" applyFill="1" applyBorder="1"/>
    <xf numFmtId="166" fontId="0" fillId="34" borderId="14" xfId="1" applyNumberFormat="1" applyFont="1" applyFill="1" applyBorder="1"/>
    <xf numFmtId="166" fontId="0" fillId="33" borderId="14" xfId="1" applyNumberFormat="1" applyFont="1" applyFill="1" applyBorder="1"/>
    <xf numFmtId="166" fontId="0" fillId="34" borderId="15" xfId="1" applyNumberFormat="1" applyFont="1" applyFill="1" applyBorder="1"/>
    <xf numFmtId="166" fontId="0" fillId="0" borderId="0" xfId="1" applyNumberFormat="1" applyFont="1"/>
    <xf numFmtId="1" fontId="0" fillId="34" borderId="14" xfId="1" applyNumberFormat="1" applyFont="1" applyFill="1" applyBorder="1"/>
    <xf numFmtId="1" fontId="0" fillId="33" borderId="14" xfId="1" applyNumberFormat="1" applyFont="1" applyFill="1" applyBorder="1"/>
    <xf numFmtId="1" fontId="0" fillId="34" borderId="15" xfId="1" applyNumberFormat="1" applyFont="1" applyFill="1" applyBorder="1"/>
    <xf numFmtId="166" fontId="0" fillId="33" borderId="23" xfId="1" applyNumberFormat="1" applyFont="1" applyFill="1" applyBorder="1"/>
    <xf numFmtId="166" fontId="0" fillId="34" borderId="24" xfId="1" applyNumberFormat="1" applyFont="1" applyFill="1" applyBorder="1"/>
    <xf numFmtId="166" fontId="0" fillId="33" borderId="24" xfId="1" applyNumberFormat="1" applyFont="1" applyFill="1" applyBorder="1"/>
    <xf numFmtId="166" fontId="0" fillId="34" borderId="25" xfId="1" applyNumberFormat="1" applyFont="1" applyFill="1" applyBorder="1"/>
    <xf numFmtId="166" fontId="0" fillId="33" borderId="26" xfId="1" applyNumberFormat="1" applyFont="1" applyFill="1" applyBorder="1"/>
    <xf numFmtId="166" fontId="0" fillId="34" borderId="27" xfId="1" applyNumberFormat="1" applyFont="1" applyFill="1" applyBorder="1"/>
    <xf numFmtId="166" fontId="0" fillId="33" borderId="27" xfId="1" applyNumberFormat="1" applyFont="1" applyFill="1" applyBorder="1"/>
    <xf numFmtId="166" fontId="0" fillId="34" borderId="28" xfId="1" applyNumberFormat="1" applyFont="1" applyFill="1" applyBorder="1"/>
    <xf numFmtId="3" fontId="0" fillId="0" borderId="0" xfId="0" applyNumberFormat="1"/>
    <xf numFmtId="0" fontId="18" fillId="0" borderId="0" xfId="0" applyFont="1"/>
    <xf numFmtId="49" fontId="0" fillId="0" borderId="0" xfId="0" applyNumberFormat="1" applyAlignment="1">
      <alignment wrapText="1"/>
    </xf>
    <xf numFmtId="49" fontId="14" fillId="0" borderId="0" xfId="0" applyNumberFormat="1" applyFont="1" applyAlignment="1">
      <alignment horizontal="center" vertical="center" wrapText="1"/>
    </xf>
    <xf numFmtId="167" fontId="17" fillId="34" borderId="12" xfId="1" applyNumberFormat="1" applyFont="1" applyFill="1" applyBorder="1" applyAlignment="1"/>
    <xf numFmtId="167" fontId="17" fillId="33" borderId="11" xfId="1" applyNumberFormat="1" applyFont="1" applyFill="1" applyBorder="1" applyAlignment="1"/>
    <xf numFmtId="167" fontId="17" fillId="0" borderId="0" xfId="1" applyNumberFormat="1" applyFont="1" applyAlignment="1"/>
    <xf numFmtId="0" fontId="20" fillId="36" borderId="29" xfId="37" applyFont="1" applyFill="1" applyBorder="1" applyAlignment="1">
      <alignment vertical="top" wrapText="1"/>
    </xf>
    <xf numFmtId="0" fontId="21" fillId="36" borderId="29" xfId="37" applyFont="1" applyFill="1" applyBorder="1" applyAlignment="1">
      <alignment vertical="top" wrapText="1"/>
    </xf>
    <xf numFmtId="0" fontId="22" fillId="35" borderId="29" xfId="37" applyNumberFormat="1" applyFont="1" applyFill="1" applyBorder="1" applyAlignment="1">
      <alignment horizontal="right"/>
    </xf>
    <xf numFmtId="3" fontId="12" fillId="0" borderId="0" xfId="0" applyNumberFormat="1" applyFont="1"/>
    <xf numFmtId="9" fontId="0" fillId="0" borderId="0" xfId="3" applyFont="1"/>
    <xf numFmtId="168" fontId="0" fillId="0" borderId="0" xfId="3" applyNumberFormat="1" applyFont="1"/>
    <xf numFmtId="9" fontId="0" fillId="0" borderId="0" xfId="3" applyFont="1" applyBorder="1"/>
    <xf numFmtId="0" fontId="0" fillId="0" borderId="0" xfId="0" applyBorder="1"/>
    <xf numFmtId="166" fontId="17" fillId="33" borderId="23" xfId="1" applyNumberFormat="1" applyFont="1" applyFill="1" applyBorder="1" applyAlignment="1"/>
    <xf numFmtId="0" fontId="14" fillId="33" borderId="30" xfId="0" applyFont="1" applyFill="1" applyBorder="1"/>
    <xf numFmtId="0" fontId="14" fillId="34" borderId="31" xfId="0" applyFont="1" applyFill="1" applyBorder="1"/>
    <xf numFmtId="0" fontId="14" fillId="33" borderId="32" xfId="0" applyFont="1" applyFill="1" applyBorder="1"/>
    <xf numFmtId="0" fontId="14" fillId="34" borderId="32" xfId="0" applyFont="1" applyFill="1" applyBorder="1"/>
    <xf numFmtId="0" fontId="14" fillId="34" borderId="33" xfId="0" applyFont="1" applyFill="1" applyBorder="1"/>
    <xf numFmtId="0" fontId="14" fillId="0" borderId="0" xfId="0" applyFont="1"/>
    <xf numFmtId="0" fontId="0" fillId="33" borderId="34" xfId="0" applyFill="1" applyBorder="1"/>
    <xf numFmtId="0" fontId="0" fillId="34" borderId="35" xfId="0" applyFill="1" applyBorder="1"/>
    <xf numFmtId="0" fontId="14" fillId="33" borderId="19" xfId="0" applyFont="1" applyFill="1" applyBorder="1"/>
    <xf numFmtId="0" fontId="14" fillId="34" borderId="19" xfId="0" applyFont="1" applyFill="1" applyBorder="1"/>
    <xf numFmtId="3" fontId="14" fillId="33" borderId="19" xfId="0" applyNumberFormat="1" applyFont="1" applyFill="1" applyBorder="1"/>
    <xf numFmtId="3" fontId="14" fillId="34" borderId="19" xfId="0" applyNumberFormat="1" applyFont="1" applyFill="1" applyBorder="1"/>
    <xf numFmtId="0" fontId="0" fillId="33" borderId="19" xfId="0" applyFill="1" applyBorder="1"/>
    <xf numFmtId="0" fontId="0" fillId="34" borderId="19" xfId="0" applyFill="1" applyBorder="1"/>
    <xf numFmtId="0" fontId="0" fillId="34" borderId="36" xfId="0" applyFill="1" applyBorder="1"/>
    <xf numFmtId="0" fontId="14" fillId="33" borderId="37" xfId="0" applyFont="1" applyFill="1" applyBorder="1"/>
    <xf numFmtId="3" fontId="0" fillId="34" borderId="13" xfId="0" applyNumberFormat="1" applyFill="1" applyBorder="1"/>
    <xf numFmtId="3" fontId="0" fillId="34" borderId="15" xfId="0" applyNumberFormat="1" applyFill="1" applyBorder="1"/>
    <xf numFmtId="1" fontId="0" fillId="0" borderId="0" xfId="2" applyNumberFormat="1" applyFont="1"/>
    <xf numFmtId="0" fontId="0" fillId="0" borderId="0" xfId="0" applyAlignment="1">
      <alignment wrapText="1"/>
    </xf>
    <xf numFmtId="0" fontId="0" fillId="0" borderId="31" xfId="0" applyBorder="1"/>
    <xf numFmtId="0" fontId="0" fillId="0" borderId="32" xfId="0" applyBorder="1"/>
    <xf numFmtId="0" fontId="0" fillId="0" borderId="33" xfId="0" applyBorder="1"/>
    <xf numFmtId="0" fontId="0" fillId="0" borderId="30" xfId="0" applyBorder="1"/>
    <xf numFmtId="0" fontId="0" fillId="0" borderId="40" xfId="0" applyBorder="1"/>
    <xf numFmtId="0" fontId="0" fillId="0" borderId="34" xfId="0" applyBorder="1"/>
    <xf numFmtId="0" fontId="0" fillId="0" borderId="0" xfId="0" applyFill="1"/>
    <xf numFmtId="14" fontId="0" fillId="0" borderId="0" xfId="0" applyNumberFormat="1" applyFill="1"/>
    <xf numFmtId="167" fontId="17" fillId="0" borderId="12" xfId="1" applyNumberFormat="1" applyFont="1" applyFill="1" applyBorder="1" applyAlignment="1"/>
    <xf numFmtId="167" fontId="17" fillId="0" borderId="11" xfId="1" applyNumberFormat="1" applyFont="1" applyFill="1" applyBorder="1" applyAlignment="1"/>
    <xf numFmtId="167" fontId="17" fillId="0" borderId="0" xfId="1" applyNumberFormat="1" applyFont="1" applyFill="1" applyAlignment="1"/>
    <xf numFmtId="166" fontId="17" fillId="0" borderId="0" xfId="1" applyNumberFormat="1" applyFont="1" applyFill="1" applyAlignment="1"/>
    <xf numFmtId="0" fontId="0" fillId="0" borderId="15" xfId="0" applyFill="1" applyBorder="1"/>
    <xf numFmtId="0" fontId="0" fillId="0" borderId="14" xfId="0" applyFill="1" applyBorder="1"/>
    <xf numFmtId="3" fontId="0" fillId="0" borderId="14" xfId="0" applyNumberFormat="1" applyFill="1" applyBorder="1"/>
    <xf numFmtId="166" fontId="16" fillId="0" borderId="16" xfId="1" applyNumberFormat="1" applyFont="1" applyFill="1" applyBorder="1" applyAlignment="1"/>
    <xf numFmtId="0" fontId="0" fillId="0" borderId="18" xfId="0" applyFill="1" applyBorder="1"/>
    <xf numFmtId="0" fontId="0" fillId="0" borderId="17" xfId="0" applyFill="1" applyBorder="1"/>
    <xf numFmtId="0" fontId="0" fillId="0" borderId="19" xfId="0" applyFill="1" applyBorder="1"/>
    <xf numFmtId="166" fontId="0" fillId="0" borderId="13" xfId="1" applyNumberFormat="1" applyFont="1" applyFill="1" applyBorder="1"/>
    <xf numFmtId="166" fontId="0" fillId="0" borderId="22" xfId="1" applyNumberFormat="1" applyFont="1" applyFill="1" applyBorder="1"/>
    <xf numFmtId="166" fontId="0" fillId="0" borderId="0" xfId="1" applyNumberFormat="1" applyFont="1" applyFill="1" applyBorder="1"/>
    <xf numFmtId="166" fontId="0" fillId="0" borderId="0" xfId="1" applyNumberFormat="1" applyFont="1" applyFill="1"/>
    <xf numFmtId="3" fontId="0" fillId="0" borderId="0" xfId="0" applyNumberFormat="1" applyFill="1"/>
    <xf numFmtId="0" fontId="18" fillId="0" borderId="0" xfId="0" applyFont="1" applyFill="1"/>
    <xf numFmtId="169" fontId="0" fillId="0" borderId="22" xfId="1" applyNumberFormat="1" applyFont="1" applyFill="1" applyBorder="1"/>
    <xf numFmtId="168" fontId="0" fillId="0" borderId="22" xfId="3" applyNumberFormat="1" applyFont="1" applyFill="1" applyBorder="1"/>
    <xf numFmtId="166" fontId="0" fillId="0" borderId="0" xfId="0" applyNumberFormat="1" applyFill="1"/>
    <xf numFmtId="168" fontId="0" fillId="0" borderId="0" xfId="3" applyNumberFormat="1" applyFont="1" applyFill="1"/>
    <xf numFmtId="168" fontId="0" fillId="0" borderId="0" xfId="0" applyNumberFormat="1" applyFill="1"/>
    <xf numFmtId="0" fontId="0" fillId="0" borderId="15" xfId="0" applyFill="1" applyBorder="1" applyAlignment="1">
      <alignment wrapText="1"/>
    </xf>
    <xf numFmtId="0" fontId="14" fillId="33" borderId="31" xfId="0" applyFont="1" applyFill="1" applyBorder="1"/>
    <xf numFmtId="0" fontId="0" fillId="33" borderId="35" xfId="0" applyFill="1" applyBorder="1"/>
    <xf numFmtId="0" fontId="23" fillId="33" borderId="41" xfId="0" applyFont="1" applyFill="1" applyBorder="1"/>
    <xf numFmtId="1" fontId="0" fillId="0" borderId="0" xfId="0" applyNumberFormat="1"/>
    <xf numFmtId="167" fontId="0" fillId="0" borderId="0" xfId="0" applyNumberFormat="1"/>
    <xf numFmtId="9" fontId="0" fillId="0" borderId="32" xfId="3" applyFont="1" applyBorder="1"/>
    <xf numFmtId="9" fontId="0" fillId="0" borderId="33" xfId="3" applyFont="1" applyBorder="1"/>
    <xf numFmtId="9" fontId="0" fillId="0" borderId="39" xfId="3" applyFont="1" applyBorder="1"/>
    <xf numFmtId="9" fontId="0" fillId="0" borderId="19" xfId="3" applyFont="1" applyBorder="1"/>
    <xf numFmtId="9" fontId="0" fillId="0" borderId="36" xfId="3" applyFont="1" applyBorder="1"/>
    <xf numFmtId="9" fontId="0" fillId="0" borderId="31" xfId="3" applyFont="1" applyBorder="1"/>
    <xf numFmtId="9" fontId="0" fillId="0" borderId="38" xfId="3" applyFont="1" applyBorder="1"/>
    <xf numFmtId="9" fontId="0" fillId="0" borderId="35" xfId="3" applyFont="1" applyBorder="1"/>
    <xf numFmtId="0" fontId="0" fillId="0" borderId="0" xfId="0" applyNumberFormat="1" applyAlignment="1">
      <alignment vertical="center" wrapText="1"/>
    </xf>
    <xf numFmtId="0" fontId="0" fillId="0" borderId="0" xfId="0"/>
    <xf numFmtId="170" fontId="27" fillId="0" borderId="0" xfId="0" applyNumberFormat="1" applyFont="1" applyFill="1"/>
    <xf numFmtId="170" fontId="28" fillId="0" borderId="0" xfId="0" applyNumberFormat="1" applyFont="1" applyFill="1"/>
    <xf numFmtId="0" fontId="29" fillId="0" borderId="0" xfId="0" applyFont="1"/>
    <xf numFmtId="0" fontId="30" fillId="0" borderId="0" xfId="0" applyFont="1"/>
    <xf numFmtId="43" fontId="0" fillId="0" borderId="0" xfId="1" applyNumberFormat="1" applyFont="1"/>
    <xf numFmtId="0" fontId="17" fillId="0" borderId="0" xfId="1" applyNumberFormat="1" applyFont="1" applyAlignment="1"/>
    <xf numFmtId="167" fontId="0" fillId="0" borderId="0" xfId="0" applyNumberFormat="1" applyFill="1"/>
    <xf numFmtId="168" fontId="0" fillId="0" borderId="0" xfId="0" applyNumberFormat="1"/>
    <xf numFmtId="168" fontId="0" fillId="0" borderId="0" xfId="3" applyNumberFormat="1" applyFont="1" applyBorder="1"/>
    <xf numFmtId="171" fontId="0" fillId="0" borderId="0" xfId="0" applyNumberFormat="1"/>
    <xf numFmtId="0" fontId="29" fillId="0" borderId="0" xfId="0" applyFont="1" applyAlignment="1">
      <alignment horizontal="center"/>
    </xf>
    <xf numFmtId="0" fontId="30" fillId="0" borderId="0" xfId="0" applyFont="1" applyAlignment="1">
      <alignment horizontal="center"/>
    </xf>
    <xf numFmtId="3" fontId="27" fillId="0" borderId="0" xfId="0" applyNumberFormat="1" applyFont="1"/>
    <xf numFmtId="3" fontId="28" fillId="0" borderId="0" xfId="0" applyNumberFormat="1" applyFont="1"/>
    <xf numFmtId="172" fontId="0" fillId="0" borderId="0" xfId="2" applyNumberFormat="1" applyFont="1"/>
    <xf numFmtId="0" fontId="29" fillId="0" borderId="0" xfId="0" applyFont="1" applyAlignment="1">
      <alignment horizontal="right"/>
    </xf>
    <xf numFmtId="0" fontId="27" fillId="0" borderId="0" xfId="0" applyFont="1"/>
    <xf numFmtId="170" fontId="29" fillId="0" borderId="0" xfId="0" applyNumberFormat="1" applyFont="1"/>
    <xf numFmtId="170" fontId="29" fillId="0" borderId="44" xfId="0" applyNumberFormat="1" applyFont="1" applyBorder="1"/>
    <xf numFmtId="10" fontId="31" fillId="0" borderId="0" xfId="0" applyNumberFormat="1" applyFont="1"/>
    <xf numFmtId="0" fontId="32" fillId="0" borderId="0" xfId="0" applyFont="1"/>
    <xf numFmtId="170" fontId="27" fillId="0" borderId="0" xfId="0" applyNumberFormat="1" applyFont="1"/>
    <xf numFmtId="165" fontId="0" fillId="0" borderId="0" xfId="0" applyNumberFormat="1"/>
    <xf numFmtId="0" fontId="0" fillId="0" borderId="0" xfId="0" applyAlignment="1">
      <alignment vertical="top" wrapText="1"/>
    </xf>
    <xf numFmtId="14" fontId="0" fillId="0" borderId="0" xfId="0" applyNumberFormat="1"/>
    <xf numFmtId="0" fontId="0" fillId="0" borderId="0" xfId="0"/>
    <xf numFmtId="0" fontId="27" fillId="0" borderId="0" xfId="0" applyFont="1"/>
    <xf numFmtId="0" fontId="29" fillId="0" borderId="0" xfId="0" applyFont="1"/>
    <xf numFmtId="0" fontId="36" fillId="0" borderId="0" xfId="0" applyFont="1"/>
    <xf numFmtId="0" fontId="29" fillId="0" borderId="0" xfId="0" applyFont="1" applyAlignment="1">
      <alignment horizontal="center"/>
    </xf>
    <xf numFmtId="170" fontId="27" fillId="0" borderId="0" xfId="0" applyNumberFormat="1" applyFont="1"/>
    <xf numFmtId="170" fontId="29" fillId="0" borderId="0" xfId="0" applyNumberFormat="1" applyFont="1"/>
    <xf numFmtId="0" fontId="29" fillId="0" borderId="0" xfId="0" applyFont="1" applyAlignment="1">
      <alignment horizontal="right"/>
    </xf>
    <xf numFmtId="10" fontId="31" fillId="0" borderId="0" xfId="0" applyNumberFormat="1" applyFont="1"/>
    <xf numFmtId="170" fontId="29" fillId="0" borderId="44" xfId="0" applyNumberFormat="1" applyFont="1" applyBorder="1"/>
    <xf numFmtId="170" fontId="29" fillId="0" borderId="0" xfId="0" applyNumberFormat="1" applyFont="1" applyBorder="1"/>
    <xf numFmtId="0" fontId="32" fillId="0" borderId="0" xfId="0" applyFont="1"/>
    <xf numFmtId="168" fontId="29" fillId="0" borderId="0" xfId="0" applyNumberFormat="1" applyFont="1"/>
    <xf numFmtId="168" fontId="29" fillId="0" borderId="44" xfId="3" applyNumberFormat="1" applyFont="1" applyBorder="1"/>
    <xf numFmtId="170" fontId="29" fillId="0" borderId="0" xfId="0" applyNumberFormat="1" applyFont="1" applyFill="1"/>
    <xf numFmtId="17" fontId="0" fillId="0" borderId="0" xfId="0" applyNumberFormat="1"/>
    <xf numFmtId="166" fontId="0" fillId="33" borderId="0" xfId="1" applyNumberFormat="1" applyFont="1" applyFill="1" applyBorder="1"/>
    <xf numFmtId="0" fontId="0" fillId="0" borderId="0" xfId="0"/>
    <xf numFmtId="0" fontId="27" fillId="0" borderId="0" xfId="0" applyFont="1"/>
    <xf numFmtId="0" fontId="29" fillId="0" borderId="0" xfId="0" applyFont="1"/>
    <xf numFmtId="0" fontId="36" fillId="0" borderId="0" xfId="0" applyFont="1"/>
    <xf numFmtId="0" fontId="29" fillId="0" borderId="0" xfId="0" applyFont="1" applyAlignment="1">
      <alignment horizontal="center"/>
    </xf>
    <xf numFmtId="170" fontId="27" fillId="0" borderId="0" xfId="0" applyNumberFormat="1" applyFont="1"/>
    <xf numFmtId="0" fontId="33" fillId="0" borderId="0" xfId="0" applyFont="1"/>
    <xf numFmtId="0" fontId="37" fillId="0" borderId="0" xfId="0" applyFont="1"/>
    <xf numFmtId="0" fontId="30" fillId="0" borderId="0" xfId="0" applyFont="1" applyAlignment="1">
      <alignment horizontal="center"/>
    </xf>
    <xf numFmtId="0" fontId="30" fillId="0" borderId="0" xfId="0" applyFont="1"/>
    <xf numFmtId="168" fontId="29" fillId="0" borderId="0" xfId="0" applyNumberFormat="1" applyFont="1"/>
    <xf numFmtId="170" fontId="28" fillId="0" borderId="0" xfId="0" applyNumberFormat="1" applyFont="1" applyFill="1"/>
    <xf numFmtId="0" fontId="29" fillId="0" borderId="0" xfId="0" applyFont="1" applyFill="1"/>
    <xf numFmtId="0" fontId="30" fillId="0" borderId="0" xfId="0" applyFont="1" applyFill="1"/>
    <xf numFmtId="170" fontId="27" fillId="0" borderId="0" xfId="0" applyNumberFormat="1" applyFont="1" applyFill="1"/>
    <xf numFmtId="170" fontId="29" fillId="0" borderId="44" xfId="0" applyNumberFormat="1" applyFont="1" applyFill="1" applyBorder="1"/>
    <xf numFmtId="170" fontId="30" fillId="0" borderId="44" xfId="0" applyNumberFormat="1" applyFont="1" applyFill="1" applyBorder="1"/>
    <xf numFmtId="170" fontId="29" fillId="0" borderId="0" xfId="0" applyNumberFormat="1" applyFont="1" applyFill="1"/>
    <xf numFmtId="170" fontId="30" fillId="0" borderId="0" xfId="0" applyNumberFormat="1" applyFont="1" applyFill="1"/>
    <xf numFmtId="170" fontId="29" fillId="0" borderId="44" xfId="0" applyNumberFormat="1" applyFont="1" applyFill="1" applyBorder="1" applyAlignment="1">
      <alignment horizontal="center"/>
    </xf>
    <xf numFmtId="170" fontId="30" fillId="0" borderId="44" xfId="0" applyNumberFormat="1" applyFont="1" applyFill="1" applyBorder="1" applyAlignment="1">
      <alignment horizontal="center"/>
    </xf>
    <xf numFmtId="1" fontId="27" fillId="0" borderId="0" xfId="0" applyNumberFormat="1" applyFont="1" applyFill="1"/>
    <xf numFmtId="170" fontId="29" fillId="0" borderId="0" xfId="0" applyNumberFormat="1" applyFont="1" applyFill="1" applyBorder="1"/>
    <xf numFmtId="170" fontId="30" fillId="0" borderId="0" xfId="0" applyNumberFormat="1" applyFont="1" applyFill="1" applyBorder="1"/>
    <xf numFmtId="170" fontId="29" fillId="0" borderId="0" xfId="0" applyNumberFormat="1" applyFont="1" applyFill="1" applyBorder="1" applyAlignment="1">
      <alignment horizontal="center"/>
    </xf>
    <xf numFmtId="170" fontId="30" fillId="0" borderId="0" xfId="0" applyNumberFormat="1" applyFont="1" applyFill="1" applyBorder="1" applyAlignment="1">
      <alignment horizontal="center"/>
    </xf>
    <xf numFmtId="167" fontId="17" fillId="0" borderId="0" xfId="1" applyNumberFormat="1" applyFont="1" applyFill="1" applyBorder="1" applyAlignment="1"/>
    <xf numFmtId="166" fontId="16" fillId="33" borderId="10" xfId="1" applyNumberFormat="1" applyFont="1" applyFill="1" applyBorder="1" applyAlignment="1"/>
    <xf numFmtId="166" fontId="16" fillId="33" borderId="13" xfId="1" applyNumberFormat="1" applyFont="1" applyFill="1" applyBorder="1" applyAlignment="1"/>
    <xf numFmtId="166" fontId="16" fillId="0" borderId="10" xfId="1" applyNumberFormat="1" applyFont="1" applyFill="1" applyBorder="1" applyAlignment="1"/>
    <xf numFmtId="166" fontId="16" fillId="0" borderId="13" xfId="1" applyNumberFormat="1" applyFont="1" applyFill="1" applyBorder="1" applyAlignment="1"/>
    <xf numFmtId="0" fontId="0" fillId="0" borderId="0" xfId="0" applyFill="1" applyAlignment="1">
      <alignment horizontal="center" wrapText="1"/>
    </xf>
    <xf numFmtId="0" fontId="0" fillId="0" borderId="19" xfId="0" applyBorder="1" applyAlignment="1">
      <alignment horizontal="center"/>
    </xf>
    <xf numFmtId="0" fontId="0" fillId="0" borderId="31" xfId="0" applyBorder="1" applyAlignment="1">
      <alignment horizontal="center" wrapText="1"/>
    </xf>
    <xf numFmtId="0" fontId="0" fillId="0" borderId="35" xfId="0" applyBorder="1" applyAlignment="1">
      <alignment horizontal="center" wrapText="1"/>
    </xf>
    <xf numFmtId="166" fontId="16" fillId="0" borderId="42" xfId="1" applyNumberFormat="1" applyFont="1" applyFill="1" applyBorder="1" applyAlignment="1"/>
    <xf numFmtId="166" fontId="16" fillId="0" borderId="43" xfId="1" applyNumberFormat="1" applyFont="1" applyFill="1" applyBorder="1" applyAlignment="1"/>
    <xf numFmtId="166" fontId="16" fillId="0" borderId="20" xfId="1" applyNumberFormat="1" applyFont="1" applyFill="1" applyBorder="1" applyAlignment="1"/>
    <xf numFmtId="0" fontId="0" fillId="0" borderId="33" xfId="0" applyBorder="1" applyAlignment="1">
      <alignment horizontal="center" wrapText="1"/>
    </xf>
    <xf numFmtId="0" fontId="0" fillId="0" borderId="36" xfId="0" applyBorder="1" applyAlignment="1">
      <alignment horizontal="center" wrapText="1"/>
    </xf>
  </cellXfs>
  <cellStyles count="52">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0"/>
    <cellStyle name="60% - Accent2 2" xfId="41"/>
    <cellStyle name="60% - Accent3 2" xfId="42"/>
    <cellStyle name="60% - Accent4 2" xfId="43"/>
    <cellStyle name="60% - Accent5 2" xfId="44"/>
    <cellStyle name="60% - Accent6 2" xfId="45"/>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Comma" xfId="1" builtinId="3"/>
    <cellStyle name="Currency" xfId="2" builtinId="4"/>
    <cellStyle name="Explanatory Text" xfId="17" builtinId="53" customBuiltin="1"/>
    <cellStyle name="Followed Hyperlink 2" xfId="47"/>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6"/>
    <cellStyle name="Hyperlink 2 2" xfId="48"/>
    <cellStyle name="Input" xfId="10" builtinId="20" customBuiltin="1"/>
    <cellStyle name="Linked Cell" xfId="13" builtinId="24" customBuiltin="1"/>
    <cellStyle name="Neutral 2" xfId="39"/>
    <cellStyle name="Normal" xfId="0" builtinId="0"/>
    <cellStyle name="Normal 11 2" xfId="49"/>
    <cellStyle name="Normal 2" xfId="37"/>
    <cellStyle name="Normal 2 2" xfId="50"/>
    <cellStyle name="Note" xfId="16" builtinId="10" customBuiltin="1"/>
    <cellStyle name="Output" xfId="11" builtinId="21" customBuiltin="1"/>
    <cellStyle name="Percent" xfId="3" builtinId="5"/>
    <cellStyle name="Percent 2" xfId="51"/>
    <cellStyle name="Title 2" xfId="38"/>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Annual per capita spending</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994028871391076"/>
          <c:y val="0.25879666083406239"/>
          <c:w val="0.82186395450568683"/>
          <c:h val="0.57142242636337137"/>
        </c:manualLayout>
      </c:layout>
      <c:lineChart>
        <c:grouping val="standard"/>
        <c:varyColors val="0"/>
        <c:ser>
          <c:idx val="0"/>
          <c:order val="0"/>
          <c:tx>
            <c:strRef>
              <c:f>'Nominal per person (Core)'!$A$6</c:f>
              <c:strCache>
                <c:ptCount val="1"/>
                <c:pt idx="0">
                  <c:v> Core govt services </c:v>
                </c:pt>
              </c:strCache>
            </c:strRef>
          </c:tx>
          <c:spPr>
            <a:ln w="28575" cap="rnd">
              <a:solidFill>
                <a:schemeClr val="accent1"/>
              </a:solidFill>
              <a:prstDash val="sysDash"/>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(Core)'!$B$6:$Y$6</c:f>
              <c:numCache>
                <c:formatCode>_-* #,##0_-;\-* #,##0_-;_-* "-"??_-;_-@_-</c:formatCode>
                <c:ptCount val="24"/>
                <c:pt idx="0">
                  <c:v>409.83147640109735</c:v>
                </c:pt>
                <c:pt idx="1">
                  <c:v>475.96685082872926</c:v>
                </c:pt>
                <c:pt idx="2">
                  <c:v>364.7846681548429</c:v>
                </c:pt>
                <c:pt idx="3">
                  <c:v>419.34619506966771</c:v>
                </c:pt>
                <c:pt idx="4">
                  <c:v>440.85367466215325</c:v>
                </c:pt>
                <c:pt idx="5">
                  <c:v>409.43643512450853</c:v>
                </c:pt>
                <c:pt idx="6">
                  <c:v>444.57771635680945</c:v>
                </c:pt>
                <c:pt idx="7">
                  <c:v>443.26930554475467</c:v>
                </c:pt>
                <c:pt idx="8">
                  <c:v>463.34235278958897</c:v>
                </c:pt>
                <c:pt idx="9">
                  <c:v>390.02152716221349</c:v>
                </c:pt>
                <c:pt idx="10">
                  <c:v>528.90345649582832</c:v>
                </c:pt>
                <c:pt idx="11">
                  <c:v>511.55963302752292</c:v>
                </c:pt>
                <c:pt idx="12">
                  <c:v>620.9632550376158</c:v>
                </c:pt>
                <c:pt idx="13">
                  <c:v>599.09717227090562</c:v>
                </c:pt>
                <c:pt idx="14">
                  <c:v>1140.1893055167548</c:v>
                </c:pt>
                <c:pt idx="15">
                  <c:v>791.36099536357767</c:v>
                </c:pt>
                <c:pt idx="16">
                  <c:v>1230.1892580980293</c:v>
                </c:pt>
                <c:pt idx="17">
                  <c:v>683.57287498247399</c:v>
                </c:pt>
                <c:pt idx="18">
                  <c:v>1268.9411651995795</c:v>
                </c:pt>
                <c:pt idx="19">
                  <c:v>1231.4030462933135</c:v>
                </c:pt>
                <c:pt idx="20">
                  <c:v>966.65991310416246</c:v>
                </c:pt>
                <c:pt idx="21">
                  <c:v>998.29478301169263</c:v>
                </c:pt>
                <c:pt idx="22">
                  <c:v>899.52673665886959</c:v>
                </c:pt>
                <c:pt idx="23">
                  <c:v>874.06776049435325</c:v>
                </c:pt>
              </c:numCache>
            </c:numRef>
          </c:val>
          <c:smooth val="0"/>
          <c:extLst xmlns:c16r2="http://schemas.microsoft.com/office/drawing/2015/06/chart">
            <c:ext xmlns:c16="http://schemas.microsoft.com/office/drawing/2014/chart" uri="{C3380CC4-5D6E-409C-BE32-E72D297353CC}">
              <c16:uniqueId val="{00000000-E923-4BAD-BC85-E393B477E8C7}"/>
            </c:ext>
          </c:extLst>
        </c:ser>
        <c:ser>
          <c:idx val="1"/>
          <c:order val="1"/>
          <c:tx>
            <c:strRef>
              <c:f>'Nominal per person (Core)'!$A$7</c:f>
              <c:strCache>
                <c:ptCount val="1"/>
                <c:pt idx="0">
                  <c:v> Defence </c:v>
                </c:pt>
              </c:strCache>
            </c:strRef>
          </c:tx>
          <c:spPr>
            <a:ln w="28575" cap="rnd">
              <a:solidFill>
                <a:schemeClr val="accent2"/>
              </a:solidFill>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(Core)'!$B$7:$Y$7</c:f>
              <c:numCache>
                <c:formatCode>_-* #,##0_-;\-* #,##0_-;_-* "-"??_-;_-@_-</c:formatCode>
                <c:ptCount val="24"/>
                <c:pt idx="0">
                  <c:v>328.36907228038746</c:v>
                </c:pt>
                <c:pt idx="1">
                  <c:v>289.77900552486187</c:v>
                </c:pt>
                <c:pt idx="2">
                  <c:v>275.76632003048945</c:v>
                </c:pt>
                <c:pt idx="3">
                  <c:v>259.91425509110394</c:v>
                </c:pt>
                <c:pt idx="4">
                  <c:v>250.17851003623093</c:v>
                </c:pt>
                <c:pt idx="5">
                  <c:v>279.16120576671034</c:v>
                </c:pt>
                <c:pt idx="6">
                  <c:v>268.5718755703893</c:v>
                </c:pt>
                <c:pt idx="7">
                  <c:v>323.24960468673044</c:v>
                </c:pt>
                <c:pt idx="8">
                  <c:v>320.06184770003864</c:v>
                </c:pt>
                <c:pt idx="9">
                  <c:v>294.28897049512472</c:v>
                </c:pt>
                <c:pt idx="10">
                  <c:v>297.72546682558601</c:v>
                </c:pt>
                <c:pt idx="11">
                  <c:v>320.73394495412845</c:v>
                </c:pt>
                <c:pt idx="12">
                  <c:v>308.42545780014029</c:v>
                </c:pt>
                <c:pt idx="13">
                  <c:v>330.49516922643102</c:v>
                </c:pt>
                <c:pt idx="14">
                  <c:v>359.15016122693459</c:v>
                </c:pt>
                <c:pt idx="15">
                  <c:v>366.68818592640412</c:v>
                </c:pt>
                <c:pt idx="16">
                  <c:v>408.35868627965948</c:v>
                </c:pt>
                <c:pt idx="17">
                  <c:v>416.94727478756147</c:v>
                </c:pt>
                <c:pt idx="18">
                  <c:v>412.63968503434103</c:v>
                </c:pt>
                <c:pt idx="19">
                  <c:v>393.83118798179663</c:v>
                </c:pt>
                <c:pt idx="20">
                  <c:v>406.11422525382142</c:v>
                </c:pt>
                <c:pt idx="21">
                  <c:v>401.57970947005225</c:v>
                </c:pt>
                <c:pt idx="22">
                  <c:v>426.69858020997663</c:v>
                </c:pt>
                <c:pt idx="23">
                  <c:v>431.70679735776685</c:v>
                </c:pt>
              </c:numCache>
            </c:numRef>
          </c:val>
          <c:smooth val="0"/>
          <c:extLst xmlns:c16r2="http://schemas.microsoft.com/office/drawing/2015/06/chart">
            <c:ext xmlns:c16="http://schemas.microsoft.com/office/drawing/2014/chart" uri="{C3380CC4-5D6E-409C-BE32-E72D297353CC}">
              <c16:uniqueId val="{00000001-E923-4BAD-BC85-E393B477E8C7}"/>
            </c:ext>
          </c:extLst>
        </c:ser>
        <c:ser>
          <c:idx val="2"/>
          <c:order val="2"/>
          <c:tx>
            <c:strRef>
              <c:f>'Nominal per person (Core)'!$A$8</c:f>
              <c:strCache>
                <c:ptCount val="1"/>
                <c:pt idx="0">
                  <c:v> Education </c:v>
                </c:pt>
              </c:strCache>
            </c:strRef>
          </c:tx>
          <c:spPr>
            <a:ln w="28575" cap="rnd">
              <a:solidFill>
                <a:srgbClr val="FF0000"/>
              </a:solidFill>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(Core)'!$B$8:$Y$8</c:f>
              <c:numCache>
                <c:formatCode>_-* #,##0_-;\-* #,##0_-;_-* "-"??_-;_-@_-</c:formatCode>
                <c:ptCount val="24"/>
                <c:pt idx="0">
                  <c:v>1270.6455405632382</c:v>
                </c:pt>
                <c:pt idx="1">
                  <c:v>1278.1767955801106</c:v>
                </c:pt>
                <c:pt idx="2">
                  <c:v>1307.5080307072467</c:v>
                </c:pt>
                <c:pt idx="3">
                  <c:v>1326.0986066452303</c:v>
                </c:pt>
                <c:pt idx="4">
                  <c:v>1410.8904345066512</c:v>
                </c:pt>
                <c:pt idx="5">
                  <c:v>1497.7719528178243</c:v>
                </c:pt>
                <c:pt idx="6">
                  <c:v>1538.1606737764334</c:v>
                </c:pt>
                <c:pt idx="7">
                  <c:v>1635.6896596417555</c:v>
                </c:pt>
                <c:pt idx="8">
                  <c:v>1581.2395309882747</c:v>
                </c:pt>
                <c:pt idx="9">
                  <c:v>1639.3567177409143</c:v>
                </c:pt>
                <c:pt idx="10">
                  <c:v>1742.1533571712357</c:v>
                </c:pt>
                <c:pt idx="11">
                  <c:v>1855.65749235474</c:v>
                </c:pt>
                <c:pt idx="12">
                  <c:v>1918.285396356951</c:v>
                </c:pt>
                <c:pt idx="13">
                  <c:v>2369.1461371734181</c:v>
                </c:pt>
                <c:pt idx="14">
                  <c:v>2194.4382626318106</c:v>
                </c:pt>
                <c:pt idx="15">
                  <c:v>2242.1503609366746</c:v>
                </c:pt>
                <c:pt idx="16">
                  <c:v>2662.3498869285709</c:v>
                </c:pt>
                <c:pt idx="17">
                  <c:v>2694.7573592113399</c:v>
                </c:pt>
                <c:pt idx="18">
                  <c:v>2657.4086957711847</c:v>
                </c:pt>
                <c:pt idx="19">
                  <c:v>2643.8413967395495</c:v>
                </c:pt>
                <c:pt idx="20">
                  <c:v>2814.8848517593028</c:v>
                </c:pt>
                <c:pt idx="21">
                  <c:v>2727.4602023642424</c:v>
                </c:pt>
                <c:pt idx="22">
                  <c:v>2802.3717565141706</c:v>
                </c:pt>
                <c:pt idx="23">
                  <c:v>2803.7502663541445</c:v>
                </c:pt>
              </c:numCache>
            </c:numRef>
          </c:val>
          <c:smooth val="0"/>
          <c:extLst xmlns:c16r2="http://schemas.microsoft.com/office/drawing/2015/06/chart">
            <c:ext xmlns:c16="http://schemas.microsoft.com/office/drawing/2014/chart" uri="{C3380CC4-5D6E-409C-BE32-E72D297353CC}">
              <c16:uniqueId val="{00000002-E923-4BAD-BC85-E393B477E8C7}"/>
            </c:ext>
          </c:extLst>
        </c:ser>
        <c:ser>
          <c:idx val="3"/>
          <c:order val="3"/>
          <c:tx>
            <c:strRef>
              <c:f>'Nominal per person (Core)'!$A$9</c:f>
              <c:strCache>
                <c:ptCount val="1"/>
                <c:pt idx="0">
                  <c:v> Finance costs </c:v>
                </c:pt>
              </c:strCache>
            </c:strRef>
          </c:tx>
          <c:spPr>
            <a:ln w="28575" cap="rnd">
              <a:solidFill>
                <a:srgbClr val="FF0000"/>
              </a:solidFill>
              <a:prstDash val="sysDash"/>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(Core)'!$B$9:$Y$9</c:f>
              <c:numCache>
                <c:formatCode>_-* #,##0_-;\-* #,##0_-;_-* "-"??_-;_-@_-</c:formatCode>
                <c:ptCount val="24"/>
                <c:pt idx="0">
                  <c:v>1108.8404904540619</c:v>
                </c:pt>
                <c:pt idx="1">
                  <c:v>1046.4088397790056</c:v>
                </c:pt>
                <c:pt idx="2">
                  <c:v>1022.7582076550335</c:v>
                </c:pt>
                <c:pt idx="3">
                  <c:v>992.2293676312969</c:v>
                </c:pt>
                <c:pt idx="4">
                  <c:v>812.41900933541376</c:v>
                </c:pt>
                <c:pt idx="5">
                  <c:v>734.99344692005241</c:v>
                </c:pt>
                <c:pt idx="6">
                  <c:v>656.04547469427132</c:v>
                </c:pt>
                <c:pt idx="7">
                  <c:v>615.13336962438757</c:v>
                </c:pt>
                <c:pt idx="8">
                  <c:v>593.73792037108615</c:v>
                </c:pt>
                <c:pt idx="9">
                  <c:v>536.40623021400529</c:v>
                </c:pt>
                <c:pt idx="10">
                  <c:v>586.01509733810087</c:v>
                </c:pt>
                <c:pt idx="11">
                  <c:v>550.94801223241586</c:v>
                </c:pt>
                <c:pt idx="12">
                  <c:v>550.08587532354431</c:v>
                </c:pt>
                <c:pt idx="13">
                  <c:v>563.01273947756431</c:v>
                </c:pt>
                <c:pt idx="14">
                  <c:v>551.39138134313168</c:v>
                </c:pt>
                <c:pt idx="15">
                  <c:v>577.49867949997065</c:v>
                </c:pt>
                <c:pt idx="16">
                  <c:v>564.54368182885196</c:v>
                </c:pt>
                <c:pt idx="17">
                  <c:v>531.18255349176104</c:v>
                </c:pt>
                <c:pt idx="18">
                  <c:v>699.36609967677703</c:v>
                </c:pt>
                <c:pt idx="19">
                  <c:v>796.50996601617976</c:v>
                </c:pt>
                <c:pt idx="20">
                  <c:v>814.70475675919045</c:v>
                </c:pt>
                <c:pt idx="21">
                  <c:v>802.71592947630552</c:v>
                </c:pt>
                <c:pt idx="22">
                  <c:v>823.15182505575808</c:v>
                </c:pt>
                <c:pt idx="23">
                  <c:v>764.96910291924144</c:v>
                </c:pt>
              </c:numCache>
            </c:numRef>
          </c:val>
          <c:smooth val="0"/>
          <c:extLst xmlns:c16r2="http://schemas.microsoft.com/office/drawing/2015/06/chart">
            <c:ext xmlns:c16="http://schemas.microsoft.com/office/drawing/2014/chart" uri="{C3380CC4-5D6E-409C-BE32-E72D297353CC}">
              <c16:uniqueId val="{00000003-E923-4BAD-BC85-E393B477E8C7}"/>
            </c:ext>
          </c:extLst>
        </c:ser>
        <c:ser>
          <c:idx val="4"/>
          <c:order val="4"/>
          <c:tx>
            <c:strRef>
              <c:f>'Nominal per person (Core)'!$A$10</c:f>
              <c:strCache>
                <c:ptCount val="1"/>
                <c:pt idx="0">
                  <c:v> Health </c:v>
                </c:pt>
              </c:strCache>
            </c:strRef>
          </c:tx>
          <c:spPr>
            <a:ln w="28575" cap="rnd">
              <a:solidFill>
                <a:schemeClr val="accent5"/>
              </a:solidFill>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(Core)'!$B$10:$Y$10</c:f>
              <c:numCache>
                <c:formatCode>_-* #,##0_-;\-* #,##0_-;_-* "-"??_-;_-@_-</c:formatCode>
                <c:ptCount val="24"/>
                <c:pt idx="0">
                  <c:v>1166.7879737976598</c:v>
                </c:pt>
                <c:pt idx="1">
                  <c:v>1271.2707182320441</c:v>
                </c:pt>
                <c:pt idx="2">
                  <c:v>1330.1029019437033</c:v>
                </c:pt>
                <c:pt idx="3">
                  <c:v>1400.8574490889603</c:v>
                </c:pt>
                <c:pt idx="4">
                  <c:v>1487.8480945706503</c:v>
                </c:pt>
                <c:pt idx="5">
                  <c:v>1573.0013106159895</c:v>
                </c:pt>
                <c:pt idx="6">
                  <c:v>1713.905765169096</c:v>
                </c:pt>
                <c:pt idx="7">
                  <c:v>1781.890763926692</c:v>
                </c:pt>
                <c:pt idx="8">
                  <c:v>1716.2736760726712</c:v>
                </c:pt>
                <c:pt idx="9">
                  <c:v>1780.9294668861594</c:v>
                </c:pt>
                <c:pt idx="10">
                  <c:v>1862.5844259038538</c:v>
                </c:pt>
                <c:pt idx="11">
                  <c:v>1984.34250764526</c:v>
                </c:pt>
                <c:pt idx="12">
                  <c:v>2131.8851447785382</c:v>
                </c:pt>
                <c:pt idx="13">
                  <c:v>2281.4442376028464</c:v>
                </c:pt>
                <c:pt idx="14">
                  <c:v>2451.5490570236702</c:v>
                </c:pt>
                <c:pt idx="15">
                  <c:v>2652.0335700451906</c:v>
                </c:pt>
                <c:pt idx="16">
                  <c:v>2874.5476561791852</c:v>
                </c:pt>
                <c:pt idx="17">
                  <c:v>3017.4662753093203</c:v>
                </c:pt>
                <c:pt idx="18">
                  <c:v>3137.1108835142577</c:v>
                </c:pt>
                <c:pt idx="19">
                  <c:v>3212.3557729390786</c:v>
                </c:pt>
                <c:pt idx="20">
                  <c:v>3263.7716395398575</c:v>
                </c:pt>
                <c:pt idx="21">
                  <c:v>3303.5530158392262</c:v>
                </c:pt>
                <c:pt idx="22">
                  <c:v>3276.5054670075615</c:v>
                </c:pt>
                <c:pt idx="23">
                  <c:v>3329.639889196676</c:v>
                </c:pt>
              </c:numCache>
            </c:numRef>
          </c:val>
          <c:smooth val="0"/>
          <c:extLst xmlns:c16r2="http://schemas.microsoft.com/office/drawing/2015/06/chart">
            <c:ext xmlns:c16="http://schemas.microsoft.com/office/drawing/2014/chart" uri="{C3380CC4-5D6E-409C-BE32-E72D297353CC}">
              <c16:uniqueId val="{00000004-E923-4BAD-BC85-E393B477E8C7}"/>
            </c:ext>
          </c:extLst>
        </c:ser>
        <c:ser>
          <c:idx val="5"/>
          <c:order val="5"/>
          <c:tx>
            <c:strRef>
              <c:f>'Nominal per person (Core)'!$A$11</c:f>
              <c:strCache>
                <c:ptCount val="1"/>
                <c:pt idx="0">
                  <c:v> Law and order </c:v>
                </c:pt>
              </c:strCache>
            </c:strRef>
          </c:tx>
          <c:spPr>
            <a:ln w="28575" cap="rnd">
              <a:solidFill>
                <a:schemeClr val="accent6"/>
              </a:solidFill>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(Core)'!$B$11:$Y$11</c:f>
              <c:numCache>
                <c:formatCode>_-* #,##0_-;\-* #,##0_-;_-* "-"??_-;_-@_-</c:formatCode>
                <c:ptCount val="24"/>
                <c:pt idx="0">
                  <c:v>295.05626784614526</c:v>
                </c:pt>
                <c:pt idx="1">
                  <c:v>317.67955801104972</c:v>
                </c:pt>
                <c:pt idx="2">
                  <c:v>323.95056351064409</c:v>
                </c:pt>
                <c:pt idx="3">
                  <c:v>330.65380493033229</c:v>
                </c:pt>
                <c:pt idx="4">
                  <c:v>338.77237986935711</c:v>
                </c:pt>
                <c:pt idx="5">
                  <c:v>352.55570117955438</c:v>
                </c:pt>
                <c:pt idx="6">
                  <c:v>390.86334124273162</c:v>
                </c:pt>
                <c:pt idx="7">
                  <c:v>396.86860046141481</c:v>
                </c:pt>
                <c:pt idx="8">
                  <c:v>397.11377399819611</c:v>
                </c:pt>
                <c:pt idx="9">
                  <c:v>438.90084842345192</c:v>
                </c:pt>
                <c:pt idx="10">
                  <c:v>430.57210965435041</c:v>
                </c:pt>
                <c:pt idx="11">
                  <c:v>450.8868501529052</c:v>
                </c:pt>
                <c:pt idx="12">
                  <c:v>478.2408863300999</c:v>
                </c:pt>
                <c:pt idx="13">
                  <c:v>534.09739929217164</c:v>
                </c:pt>
                <c:pt idx="14">
                  <c:v>638.98898164238403</c:v>
                </c:pt>
                <c:pt idx="15">
                  <c:v>679.38259287516871</c:v>
                </c:pt>
                <c:pt idx="16">
                  <c:v>717.9396596003802</c:v>
                </c:pt>
                <c:pt idx="17">
                  <c:v>733.45025019134982</c:v>
                </c:pt>
                <c:pt idx="18">
                  <c:v>771.44688490112844</c:v>
                </c:pt>
                <c:pt idx="19">
                  <c:v>772.00894740901731</c:v>
                </c:pt>
                <c:pt idx="20">
                  <c:v>778.01040048625646</c:v>
                </c:pt>
                <c:pt idx="21">
                  <c:v>776.32830638026121</c:v>
                </c:pt>
                <c:pt idx="22">
                  <c:v>764.83707773486378</c:v>
                </c:pt>
                <c:pt idx="23">
                  <c:v>777.32793522267207</c:v>
                </c:pt>
              </c:numCache>
            </c:numRef>
          </c:val>
          <c:smooth val="0"/>
          <c:extLst xmlns:c16r2="http://schemas.microsoft.com/office/drawing/2015/06/chart">
            <c:ext xmlns:c16="http://schemas.microsoft.com/office/drawing/2014/chart" uri="{C3380CC4-5D6E-409C-BE32-E72D297353CC}">
              <c16:uniqueId val="{00000005-E923-4BAD-BC85-E393B477E8C7}"/>
            </c:ext>
          </c:extLst>
        </c:ser>
        <c:ser>
          <c:idx val="6"/>
          <c:order val="6"/>
          <c:tx>
            <c:strRef>
              <c:f>'Nominal per person (Core)'!$A$12</c:f>
              <c:strCache>
                <c:ptCount val="1"/>
                <c:pt idx="0">
                  <c:v> Welfare </c:v>
                </c:pt>
              </c:strCache>
            </c:strRef>
          </c:tx>
          <c:spPr>
            <a:ln w="28575" cap="rnd">
              <a:solidFill>
                <a:srgbClr val="00B0F0"/>
              </a:solidFill>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(Core)'!$B$12:$Y$12</c:f>
              <c:numCache>
                <c:formatCode>_-* #,##0_-;\-* #,##0_-;_-* "-"??_-;_-@_-</c:formatCode>
                <c:ptCount val="24"/>
                <c:pt idx="0">
                  <c:v>1934.368365110573</c:v>
                </c:pt>
                <c:pt idx="1">
                  <c:v>1802.509377209645</c:v>
                </c:pt>
                <c:pt idx="2">
                  <c:v>1848.1379376996849</c:v>
                </c:pt>
                <c:pt idx="3">
                  <c:v>1934.6485646169499</c:v>
                </c:pt>
                <c:pt idx="4">
                  <c:v>1992.3001082517574</c:v>
                </c:pt>
                <c:pt idx="5">
                  <c:v>1940.4980340760158</c:v>
                </c:pt>
                <c:pt idx="6">
                  <c:v>2042.9715000912622</c:v>
                </c:pt>
                <c:pt idx="7">
                  <c:v>2029.1883764937656</c:v>
                </c:pt>
                <c:pt idx="8">
                  <c:v>2044.5818837778636</c:v>
                </c:pt>
                <c:pt idx="9">
                  <c:v>2034.9499810054451</c:v>
                </c:pt>
                <c:pt idx="10">
                  <c:v>2052.2943980929676</c:v>
                </c:pt>
                <c:pt idx="11">
                  <c:v>2045.993883792049</c:v>
                </c:pt>
                <c:pt idx="12">
                  <c:v>2080.1180483320836</c:v>
                </c:pt>
                <c:pt idx="13">
                  <c:v>2194.6982170466686</c:v>
                </c:pt>
                <c:pt idx="14">
                  <c:v>2357.5591994052834</c:v>
                </c:pt>
                <c:pt idx="15">
                  <c:v>2471.7412993720291</c:v>
                </c:pt>
                <c:pt idx="16">
                  <c:v>2704.8824080379491</c:v>
                </c:pt>
                <c:pt idx="17">
                  <c:v>2963.9113056149972</c:v>
                </c:pt>
                <c:pt idx="18">
                  <c:v>3005.2669156038933</c:v>
                </c:pt>
                <c:pt idx="19">
                  <c:v>2823.061810625275</c:v>
                </c:pt>
                <c:pt idx="20">
                  <c:v>2815.3350892595845</c:v>
                </c:pt>
                <c:pt idx="21">
                  <c:v>2742.5388441334103</c:v>
                </c:pt>
                <c:pt idx="22">
                  <c:v>2596.311809824294</c:v>
                </c:pt>
                <c:pt idx="23">
                  <c:v>2517.366290219476</c:v>
                </c:pt>
              </c:numCache>
            </c:numRef>
          </c:val>
          <c:smooth val="0"/>
          <c:extLst xmlns:c16r2="http://schemas.microsoft.com/office/drawing/2015/06/chart">
            <c:ext xmlns:c16="http://schemas.microsoft.com/office/drawing/2014/chart" uri="{C3380CC4-5D6E-409C-BE32-E72D297353CC}">
              <c16:uniqueId val="{00000006-E923-4BAD-BC85-E393B477E8C7}"/>
            </c:ext>
          </c:extLst>
        </c:ser>
        <c:ser>
          <c:idx val="7"/>
          <c:order val="7"/>
          <c:tx>
            <c:strRef>
              <c:f>'Nominal per person (Core)'!$A$13</c:f>
              <c:strCache>
                <c:ptCount val="1"/>
                <c:pt idx="0">
                  <c:v> NZ super </c:v>
                </c:pt>
              </c:strCache>
            </c:strRef>
          </c:tx>
          <c:spPr>
            <a:ln w="28575" cap="rnd">
              <a:solidFill>
                <a:schemeClr val="bg1">
                  <a:lumMod val="75000"/>
                </a:schemeClr>
              </a:solidFill>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(Core)'!$B$13:$Y$13</c:f>
              <c:numCache>
                <c:formatCode>_-* #,##0_-;\-* #,##0_-;_-* "-"??_-;_-@_-</c:formatCode>
                <c:ptCount val="24"/>
                <c:pt idx="0">
                  <c:v>1444.7817384670541</c:v>
                </c:pt>
                <c:pt idx="1">
                  <c:v>1368.4850979284765</c:v>
                </c:pt>
                <c:pt idx="2">
                  <c:v>1343.4556812908961</c:v>
                </c:pt>
                <c:pt idx="3">
                  <c:v>1345.0942006563619</c:v>
                </c:pt>
                <c:pt idx="4">
                  <c:v>1345.1764209842197</c:v>
                </c:pt>
                <c:pt idx="5">
                  <c:v>1338.4010484927917</c:v>
                </c:pt>
                <c:pt idx="6">
                  <c:v>1322.2601757450914</c:v>
                </c:pt>
                <c:pt idx="7">
                  <c:v>1313.7361640355653</c:v>
                </c:pt>
                <c:pt idx="8">
                  <c:v>1358.8455095992783</c:v>
                </c:pt>
                <c:pt idx="9">
                  <c:v>1380.2709889831581</c:v>
                </c:pt>
                <c:pt idx="10">
                  <c:v>1400.9733810091379</c:v>
                </c:pt>
                <c:pt idx="11">
                  <c:v>1440.7339449541284</c:v>
                </c:pt>
                <c:pt idx="12">
                  <c:v>1471.4918116064732</c:v>
                </c:pt>
                <c:pt idx="13">
                  <c:v>1532.7519995794132</c:v>
                </c:pt>
                <c:pt idx="14">
                  <c:v>1612.2693460484013</c:v>
                </c:pt>
                <c:pt idx="15">
                  <c:v>1724.983860555197</c:v>
                </c:pt>
                <c:pt idx="16">
                  <c:v>1799.8461391859321</c:v>
                </c:pt>
                <c:pt idx="17">
                  <c:v>1905.4536427722626</c:v>
                </c:pt>
                <c:pt idx="18">
                  <c:v>2014.1561187690609</c:v>
                </c:pt>
                <c:pt idx="19">
                  <c:v>2174.2385401022689</c:v>
                </c:pt>
                <c:pt idx="20">
                  <c:v>2304.0904076900565</c:v>
                </c:pt>
                <c:pt idx="21">
                  <c:v>2419.9002592195916</c:v>
                </c:pt>
                <c:pt idx="22">
                  <c:v>2522.1128216286788</c:v>
                </c:pt>
                <c:pt idx="23">
                  <c:v>2613.8930321755806</c:v>
                </c:pt>
              </c:numCache>
            </c:numRef>
          </c:val>
          <c:smooth val="0"/>
          <c:extLst xmlns:c16r2="http://schemas.microsoft.com/office/drawing/2015/06/chart">
            <c:ext xmlns:c16="http://schemas.microsoft.com/office/drawing/2014/chart" uri="{C3380CC4-5D6E-409C-BE32-E72D297353CC}">
              <c16:uniqueId val="{00000007-E923-4BAD-BC85-E393B477E8C7}"/>
            </c:ext>
          </c:extLst>
        </c:ser>
        <c:ser>
          <c:idx val="8"/>
          <c:order val="8"/>
          <c:tx>
            <c:strRef>
              <c:f>'Nominal per person (Core)'!$A$14</c:f>
              <c:strCache>
                <c:ptCount val="1"/>
                <c:pt idx="0">
                  <c:v> All other </c:v>
                </c:pt>
              </c:strCache>
            </c:strRef>
          </c:tx>
          <c:spPr>
            <a:ln w="28575" cap="rnd">
              <a:solidFill>
                <a:schemeClr val="tx1"/>
              </a:solidFill>
              <a:prstDash val="sysDash"/>
              <a:round/>
            </a:ln>
            <a:effectLst/>
          </c:spPr>
          <c:marker>
            <c:symbol val="none"/>
          </c:marker>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(Core)'!$B$14:$Y$14</c:f>
              <c:numCache>
                <c:formatCode>_-* #,##0_-;\-* #,##0_-;_-* "-"??_-;_-@_-</c:formatCode>
                <c:ptCount val="24"/>
                <c:pt idx="0">
                  <c:v>839.53865964951569</c:v>
                </c:pt>
                <c:pt idx="1">
                  <c:v>337.29281767955803</c:v>
                </c:pt>
                <c:pt idx="2">
                  <c:v>459.24756356508954</c:v>
                </c:pt>
                <c:pt idx="3">
                  <c:v>496.78456591639872</c:v>
                </c:pt>
                <c:pt idx="4">
                  <c:v>636.28910692090017</c:v>
                </c:pt>
                <c:pt idx="5">
                  <c:v>841.67758846657932</c:v>
                </c:pt>
                <c:pt idx="6">
                  <c:v>963.99050872206726</c:v>
                </c:pt>
                <c:pt idx="7">
                  <c:v>837.28646602898095</c:v>
                </c:pt>
                <c:pt idx="8">
                  <c:v>982.0899368638062</c:v>
                </c:pt>
                <c:pt idx="9">
                  <c:v>1121.1852602254021</c:v>
                </c:pt>
                <c:pt idx="10">
                  <c:v>1005.6615017878427</c:v>
                </c:pt>
                <c:pt idx="11">
                  <c:v>1085.5045871559632</c:v>
                </c:pt>
                <c:pt idx="12">
                  <c:v>1300.7087737971408</c:v>
                </c:pt>
                <c:pt idx="13">
                  <c:v>1381.2451757980991</c:v>
                </c:pt>
                <c:pt idx="14">
                  <c:v>1479.6891942441275</c:v>
                </c:pt>
                <c:pt idx="15">
                  <c:v>1874.5231527671813</c:v>
                </c:pt>
                <c:pt idx="16">
                  <c:v>1912.5689410331915</c:v>
                </c:pt>
                <c:pt idx="17">
                  <c:v>1766.6244509466358</c:v>
                </c:pt>
                <c:pt idx="18">
                  <c:v>2103.5727890473704</c:v>
                </c:pt>
                <c:pt idx="19">
                  <c:v>1623.419344007913</c:v>
                </c:pt>
                <c:pt idx="20">
                  <c:v>1663.6275635397672</c:v>
                </c:pt>
                <c:pt idx="21">
                  <c:v>1675.059704769064</c:v>
                </c:pt>
                <c:pt idx="22">
                  <c:v>1634.1184790295381</c:v>
                </c:pt>
                <c:pt idx="23">
                  <c:v>1640.3153633070531</c:v>
                </c:pt>
              </c:numCache>
            </c:numRef>
          </c:val>
          <c:smooth val="0"/>
          <c:extLst xmlns:c16r2="http://schemas.microsoft.com/office/drawing/2015/06/chart">
            <c:ext xmlns:c16="http://schemas.microsoft.com/office/drawing/2014/chart" uri="{C3380CC4-5D6E-409C-BE32-E72D297353CC}">
              <c16:uniqueId val="{00000008-E923-4BAD-BC85-E393B477E8C7}"/>
            </c:ext>
          </c:extLst>
        </c:ser>
        <c:dLbls>
          <c:showLegendKey val="0"/>
          <c:showVal val="0"/>
          <c:showCatName val="0"/>
          <c:showSerName val="0"/>
          <c:showPercent val="0"/>
          <c:showBubbleSize val="0"/>
        </c:dLbls>
        <c:smooth val="0"/>
        <c:axId val="187199312"/>
        <c:axId val="187198136"/>
      </c:lineChart>
      <c:dateAx>
        <c:axId val="187199312"/>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198136"/>
        <c:crosses val="autoZero"/>
        <c:auto val="0"/>
        <c:lblOffset val="100"/>
        <c:baseTimeUnit val="years"/>
        <c:majorUnit val="4"/>
        <c:majorTimeUnit val="years"/>
      </c:dateAx>
      <c:valAx>
        <c:axId val="187198136"/>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199312"/>
        <c:crosses val="autoZero"/>
        <c:crossBetween val="between"/>
      </c:valAx>
      <c:spPr>
        <a:noFill/>
        <a:ln>
          <a:noFill/>
        </a:ln>
        <a:effectLst/>
      </c:spPr>
    </c:plotArea>
    <c:legend>
      <c:legendPos val="b"/>
      <c:layout>
        <c:manualLayout>
          <c:xMode val="edge"/>
          <c:yMode val="edge"/>
          <c:x val="0.11669269466316713"/>
          <c:y val="0.12724919801691456"/>
          <c:w val="0.78883683289588802"/>
          <c:h val="0.31719524642752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Weekly tax</a:t>
            </a:r>
            <a:r>
              <a:rPr lang="en-US" baseline="0"/>
              <a:t> bill for average taxpayer (real)</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284-4F46-A93F-F69602745C0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284-4F46-A93F-F69602745C0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284-4F46-A93F-F69602745C0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284-4F46-A93F-F69602745C0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284-4F46-A93F-F69602745C0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284-4F46-A93F-F69602745C0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284-4F46-A93F-F69602745C0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5284-4F46-A93F-F69602745C0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5284-4F46-A93F-F69602745C04}"/>
              </c:ext>
            </c:extLst>
          </c:dPt>
          <c:dLbls>
            <c:dLbl>
              <c:idx val="6"/>
              <c:layout>
                <c:manualLayout>
                  <c:x val="-6.6996046565111211E-2"/>
                  <c:y val="-0.12502296587926509"/>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D-5284-4F46-A93F-F69602745C04}"/>
                </c:ext>
                <c:ext xmlns:c15="http://schemas.microsoft.com/office/drawing/2012/chart" uri="{CE6537A1-D6FC-4f65-9D91-7224C49458BB}">
                  <c15:layout/>
                </c:ext>
              </c:extLst>
            </c:dLbl>
            <c:dLbl>
              <c:idx val="7"/>
              <c:layout>
                <c:manualLayout>
                  <c:x val="-5.9452761381183404E-2"/>
                  <c:y val="1.8477325750947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F-5284-4F46-A93F-F69602745C0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'Real per person (Core)'!$A$37:$A$45</c:f>
              <c:strCache>
                <c:ptCount val="9"/>
                <c:pt idx="0">
                  <c:v> Core govt services </c:v>
                </c:pt>
                <c:pt idx="1">
                  <c:v> Defence </c:v>
                </c:pt>
                <c:pt idx="2">
                  <c:v> Education </c:v>
                </c:pt>
                <c:pt idx="3">
                  <c:v> Finance costs </c:v>
                </c:pt>
                <c:pt idx="4">
                  <c:v> Health </c:v>
                </c:pt>
                <c:pt idx="5">
                  <c:v> Law and order </c:v>
                </c:pt>
                <c:pt idx="6">
                  <c:v> Welfare </c:v>
                </c:pt>
                <c:pt idx="7">
                  <c:v> NZ super </c:v>
                </c:pt>
                <c:pt idx="8">
                  <c:v> All other </c:v>
                </c:pt>
              </c:strCache>
            </c:strRef>
          </c:cat>
          <c:val>
            <c:numRef>
              <c:f>'Real per person (Core)'!$AD$37:$AD$45</c:f>
              <c:numCache>
                <c:formatCode>"$"#,##0.00</c:formatCode>
                <c:ptCount val="9"/>
                <c:pt idx="0">
                  <c:v>17.127546409495341</c:v>
                </c:pt>
                <c:pt idx="1">
                  <c:v>9.0249257307312902</c:v>
                </c:pt>
                <c:pt idx="2">
                  <c:v>57.360542343088504</c:v>
                </c:pt>
                <c:pt idx="3">
                  <c:v>11.983133786300295</c:v>
                </c:pt>
                <c:pt idx="4">
                  <c:v>65.599800807329189</c:v>
                </c:pt>
                <c:pt idx="5">
                  <c:v>16.072019516688389</c:v>
                </c:pt>
                <c:pt idx="6">
                  <c:v>50.675538688644473</c:v>
                </c:pt>
                <c:pt idx="7">
                  <c:v>55.413453900046562</c:v>
                </c:pt>
                <c:pt idx="8">
                  <c:v>33.493337164958476</c:v>
                </c:pt>
              </c:numCache>
            </c:numRef>
          </c:val>
          <c:extLst xmlns:c16r2="http://schemas.microsoft.com/office/drawing/2015/06/chart">
            <c:ext xmlns:c16="http://schemas.microsoft.com/office/drawing/2014/chart" uri="{C3380CC4-5D6E-409C-BE32-E72D297353CC}">
              <c16:uniqueId val="{00000012-5284-4F46-A93F-F69602745C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Annual  Real per capita spending</a:t>
            </a:r>
          </a:p>
        </c:rich>
      </c:tx>
      <c:layout>
        <c:manualLayout>
          <c:xMode val="edge"/>
          <c:yMode val="edge"/>
          <c:x val="0.22691666666666666"/>
          <c:y val="4.6296296296296294E-3"/>
        </c:manualLayout>
      </c:layout>
      <c:overlay val="0"/>
      <c:spPr>
        <a:noFill/>
        <a:ln>
          <a:noFill/>
        </a:ln>
        <a:effectLst/>
      </c:spPr>
    </c:title>
    <c:autoTitleDeleted val="0"/>
    <c:plotArea>
      <c:layout>
        <c:manualLayout>
          <c:layoutTarget val="inner"/>
          <c:xMode val="edge"/>
          <c:yMode val="edge"/>
          <c:x val="0.17049584426946632"/>
          <c:y val="0.34675962379702541"/>
          <c:w val="0.79130839895013128"/>
          <c:h val="0.4834594634004083"/>
        </c:manualLayout>
      </c:layout>
      <c:lineChart>
        <c:grouping val="standard"/>
        <c:varyColors val="0"/>
        <c:ser>
          <c:idx val="0"/>
          <c:order val="0"/>
          <c:tx>
            <c:strRef>
              <c:f>'Real per person (Core)'!$A$6</c:f>
              <c:strCache>
                <c:ptCount val="1"/>
                <c:pt idx="0">
                  <c:v> Core govt services </c:v>
                </c:pt>
              </c:strCache>
            </c:strRef>
          </c:tx>
          <c:spPr>
            <a:ln w="28575" cap="rnd">
              <a:solidFill>
                <a:srgbClr val="00B0F0"/>
              </a:solidFill>
              <a:prstDash val="sysDash"/>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(Core)'!$B$6:$AC$6</c:f>
              <c:numCache>
                <c:formatCode>_-* #,##0_-;\-* #,##0_-;_-* "-"??_-;_-@_-</c:formatCode>
                <c:ptCount val="28"/>
                <c:pt idx="0">
                  <c:v>652.96160195827952</c:v>
                </c:pt>
                <c:pt idx="1">
                  <c:v>750.12792903969614</c:v>
                </c:pt>
                <c:pt idx="2">
                  <c:v>549.71757026818432</c:v>
                </c:pt>
                <c:pt idx="3">
                  <c:v>619.54888111600803</c:v>
                </c:pt>
                <c:pt idx="4">
                  <c:v>644.10748999436464</c:v>
                </c:pt>
                <c:pt idx="5">
                  <c:v>588.42553321578907</c:v>
                </c:pt>
                <c:pt idx="6">
                  <c:v>641.25889845043002</c:v>
                </c:pt>
                <c:pt idx="7">
                  <c:v>626.83494701472762</c:v>
                </c:pt>
                <c:pt idx="8">
                  <c:v>634.6866190420053</c:v>
                </c:pt>
                <c:pt idx="9">
                  <c:v>519.93257910242187</c:v>
                </c:pt>
                <c:pt idx="10">
                  <c:v>694.79995042450275</c:v>
                </c:pt>
                <c:pt idx="11">
                  <c:v>656.47118716894249</c:v>
                </c:pt>
                <c:pt idx="12">
                  <c:v>774.80743865999568</c:v>
                </c:pt>
                <c:pt idx="13">
                  <c:v>718.91660672508681</c:v>
                </c:pt>
                <c:pt idx="14">
                  <c:v>1341.3991824771954</c:v>
                </c:pt>
                <c:pt idx="15">
                  <c:v>895.03599830383666</c:v>
                </c:pt>
                <c:pt idx="16">
                  <c:v>1365.6124966284935</c:v>
                </c:pt>
                <c:pt idx="17">
                  <c:v>746.39440383046303</c:v>
                </c:pt>
                <c:pt idx="18">
                  <c:v>1316.1014671610496</c:v>
                </c:pt>
                <c:pt idx="19">
                  <c:v>1265.1401161610113</c:v>
                </c:pt>
                <c:pt idx="20">
                  <c:v>986.38766598035556</c:v>
                </c:pt>
                <c:pt idx="21">
                  <c:v>1002.4717481938854</c:v>
                </c:pt>
                <c:pt idx="22">
                  <c:v>899.52673665886959</c:v>
                </c:pt>
                <c:pt idx="23">
                  <c:v>870.44092280465293</c:v>
                </c:pt>
                <c:pt idx="24">
                  <c:v>807.91906311228854</c:v>
                </c:pt>
                <c:pt idx="25">
                  <c:v>1060.3622187272515</c:v>
                </c:pt>
                <c:pt idx="26">
                  <c:v>936.31296380376307</c:v>
                </c:pt>
                <c:pt idx="27">
                  <c:v>928.16413752804465</c:v>
                </c:pt>
              </c:numCache>
            </c:numRef>
          </c:val>
          <c:smooth val="0"/>
          <c:extLst xmlns:c16r2="http://schemas.microsoft.com/office/drawing/2015/06/chart">
            <c:ext xmlns:c16="http://schemas.microsoft.com/office/drawing/2014/chart" uri="{C3380CC4-5D6E-409C-BE32-E72D297353CC}">
              <c16:uniqueId val="{00000000-0C3A-4D6F-B862-5251B5A2CDD5}"/>
            </c:ext>
          </c:extLst>
        </c:ser>
        <c:ser>
          <c:idx val="1"/>
          <c:order val="1"/>
          <c:tx>
            <c:strRef>
              <c:f>'Real per person (Core)'!$A$7</c:f>
              <c:strCache>
                <c:ptCount val="1"/>
                <c:pt idx="0">
                  <c:v> Defence </c:v>
                </c:pt>
              </c:strCache>
            </c:strRef>
          </c:tx>
          <c:spPr>
            <a:ln w="28575" cap="rnd">
              <a:solidFill>
                <a:schemeClr val="accent2"/>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(Core)'!$B$7:$AC$7</c:f>
              <c:numCache>
                <c:formatCode>_-* #,##0_-;\-* #,##0_-;_-* "-"??_-;_-@_-</c:formatCode>
                <c:ptCount val="28"/>
                <c:pt idx="0">
                  <c:v>523.17210320837557</c:v>
                </c:pt>
                <c:pt idx="1">
                  <c:v>456.69425279317539</c:v>
                </c:pt>
                <c:pt idx="2">
                  <c:v>415.57007364303786</c:v>
                </c:pt>
                <c:pt idx="3">
                  <c:v>384.00154292813284</c:v>
                </c:pt>
                <c:pt idx="4">
                  <c:v>365.52230685942942</c:v>
                </c:pt>
                <c:pt idx="5">
                  <c:v>401.19922719258358</c:v>
                </c:pt>
                <c:pt idx="6">
                  <c:v>387.38807355069963</c:v>
                </c:pt>
                <c:pt idx="7">
                  <c:v>457.11297013296218</c:v>
                </c:pt>
                <c:pt idx="8">
                  <c:v>438.42090147395464</c:v>
                </c:pt>
                <c:pt idx="9">
                  <c:v>392.31276423182743</c:v>
                </c:pt>
                <c:pt idx="10">
                  <c:v>391.11039462862851</c:v>
                </c:pt>
                <c:pt idx="11">
                  <c:v>411.58953915757223</c:v>
                </c:pt>
                <c:pt idx="12">
                  <c:v>384.83813178476601</c:v>
                </c:pt>
                <c:pt idx="13">
                  <c:v>396.59420307171729</c:v>
                </c:pt>
                <c:pt idx="14">
                  <c:v>422.52960129109329</c:v>
                </c:pt>
                <c:pt idx="15">
                  <c:v>414.72744863559564</c:v>
                </c:pt>
                <c:pt idx="16">
                  <c:v>453.31213991616522</c:v>
                </c:pt>
                <c:pt idx="17">
                  <c:v>455.26545008354407</c:v>
                </c:pt>
                <c:pt idx="18">
                  <c:v>427.97547260369203</c:v>
                </c:pt>
                <c:pt idx="19">
                  <c:v>404.62108357691886</c:v>
                </c:pt>
                <c:pt idx="20">
                  <c:v>414.40227047707526</c:v>
                </c:pt>
                <c:pt idx="21">
                  <c:v>403.25995912463941</c:v>
                </c:pt>
                <c:pt idx="22">
                  <c:v>426.69858020997663</c:v>
                </c:pt>
                <c:pt idx="23">
                  <c:v>429.91548259439941</c:v>
                </c:pt>
                <c:pt idx="24">
                  <c:v>438.15878429086973</c:v>
                </c:pt>
                <c:pt idx="25">
                  <c:v>448.24942616969474</c:v>
                </c:pt>
                <c:pt idx="26">
                  <c:v>466.25495273087466</c:v>
                </c:pt>
                <c:pt idx="27">
                  <c:v>468.5859351473531</c:v>
                </c:pt>
              </c:numCache>
            </c:numRef>
          </c:val>
          <c:smooth val="0"/>
          <c:extLst xmlns:c16r2="http://schemas.microsoft.com/office/drawing/2015/06/chart">
            <c:ext xmlns:c16="http://schemas.microsoft.com/office/drawing/2014/chart" uri="{C3380CC4-5D6E-409C-BE32-E72D297353CC}">
              <c16:uniqueId val="{00000001-0C3A-4D6F-B862-5251B5A2CDD5}"/>
            </c:ext>
          </c:extLst>
        </c:ser>
        <c:ser>
          <c:idx val="2"/>
          <c:order val="2"/>
          <c:tx>
            <c:strRef>
              <c:f>'Real per person (Core)'!$A$8</c:f>
              <c:strCache>
                <c:ptCount val="1"/>
                <c:pt idx="0">
                  <c:v> Education </c:v>
                </c:pt>
              </c:strCache>
            </c:strRef>
          </c:tx>
          <c:spPr>
            <a:ln w="28575" cap="rnd">
              <a:solidFill>
                <a:srgbClr val="FF0000"/>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(Core)'!$B$8:$AC$8</c:f>
              <c:numCache>
                <c:formatCode>_-* #,##0_-;\-* #,##0_-;_-* "-"??_-;_-@_-</c:formatCode>
                <c:ptCount val="28"/>
                <c:pt idx="0">
                  <c:v>2024.448573284584</c:v>
                </c:pt>
                <c:pt idx="1">
                  <c:v>2014.41783381699</c:v>
                </c:pt>
                <c:pt idx="2">
                  <c:v>1970.3682761179768</c:v>
                </c:pt>
                <c:pt idx="3">
                  <c:v>1959.1996246920924</c:v>
                </c:pt>
                <c:pt idx="4">
                  <c:v>2061.3758003118987</c:v>
                </c:pt>
                <c:pt idx="5">
                  <c:v>2152.5374499327909</c:v>
                </c:pt>
                <c:pt idx="6">
                  <c:v>2218.6429571607546</c:v>
                </c:pt>
                <c:pt idx="7">
                  <c:v>2313.0576114987903</c:v>
                </c:pt>
                <c:pt idx="8">
                  <c:v>2165.9828111466873</c:v>
                </c:pt>
                <c:pt idx="9">
                  <c:v>2185.4049250194657</c:v>
                </c:pt>
                <c:pt idx="10">
                  <c:v>2288.5992733231515</c:v>
                </c:pt>
                <c:pt idx="11">
                  <c:v>2381.3170514951835</c:v>
                </c:pt>
                <c:pt idx="12">
                  <c:v>2393.5422627868197</c:v>
                </c:pt>
                <c:pt idx="13">
                  <c:v>2842.9753646081022</c:v>
                </c:pt>
                <c:pt idx="14">
                  <c:v>2581.6920727535557</c:v>
                </c:pt>
                <c:pt idx="15">
                  <c:v>2535.8910767724547</c:v>
                </c:pt>
                <c:pt idx="16">
                  <c:v>2955.4300300168879</c:v>
                </c:pt>
                <c:pt idx="17">
                  <c:v>2942.4102187317922</c:v>
                </c:pt>
                <c:pt idx="18">
                  <c:v>2756.1715068175854</c:v>
                </c:pt>
                <c:pt idx="19">
                  <c:v>2716.2754078372191</c:v>
                </c:pt>
                <c:pt idx="20">
                  <c:v>2872.3314800694843</c:v>
                </c:pt>
                <c:pt idx="21">
                  <c:v>2738.8721685439341</c:v>
                </c:pt>
                <c:pt idx="22">
                  <c:v>2802.3717565141706</c:v>
                </c:pt>
                <c:pt idx="23">
                  <c:v>2792.116446188109</c:v>
                </c:pt>
                <c:pt idx="24">
                  <c:v>2711.6434362381365</c:v>
                </c:pt>
                <c:pt idx="25">
                  <c:v>2779.9380527177495</c:v>
                </c:pt>
                <c:pt idx="26">
                  <c:v>2894.5077041065965</c:v>
                </c:pt>
                <c:pt idx="27">
                  <c:v>2934.6825691221438</c:v>
                </c:pt>
              </c:numCache>
            </c:numRef>
          </c:val>
          <c:smooth val="0"/>
          <c:extLst xmlns:c16r2="http://schemas.microsoft.com/office/drawing/2015/06/chart">
            <c:ext xmlns:c16="http://schemas.microsoft.com/office/drawing/2014/chart" uri="{C3380CC4-5D6E-409C-BE32-E72D297353CC}">
              <c16:uniqueId val="{00000002-0C3A-4D6F-B862-5251B5A2CDD5}"/>
            </c:ext>
          </c:extLst>
        </c:ser>
        <c:ser>
          <c:idx val="3"/>
          <c:order val="3"/>
          <c:tx>
            <c:strRef>
              <c:f>'Real per person (Core)'!$A$9</c:f>
              <c:strCache>
                <c:ptCount val="1"/>
                <c:pt idx="0">
                  <c:v> Finance costs </c:v>
                </c:pt>
              </c:strCache>
            </c:strRef>
          </c:tx>
          <c:spPr>
            <a:ln w="28575" cap="rnd">
              <a:solidFill>
                <a:srgbClr val="FF0000"/>
              </a:solidFill>
              <a:prstDash val="dash"/>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(Core)'!$B$9:$AC$9</c:f>
              <c:numCache>
                <c:formatCode>_-* #,##0_-;\-* #,##0_-;_-* "-"??_-;_-@_-</c:formatCode>
                <c:ptCount val="28"/>
                <c:pt idx="0">
                  <c:v>1766.6536238775584</c:v>
                </c:pt>
                <c:pt idx="1">
                  <c:v>1649.1495038899413</c:v>
                </c:pt>
                <c:pt idx="2">
                  <c:v>1541.260381714603</c:v>
                </c:pt>
                <c:pt idx="3">
                  <c:v>1465.9357870751298</c:v>
                </c:pt>
                <c:pt idx="4">
                  <c:v>1186.9815292517626</c:v>
                </c:pt>
                <c:pt idx="5">
                  <c:v>1056.3029418291119</c:v>
                </c:pt>
                <c:pt idx="6">
                  <c:v>946.27999325588382</c:v>
                </c:pt>
                <c:pt idx="7">
                  <c:v>869.87095278710444</c:v>
                </c:pt>
                <c:pt idx="8">
                  <c:v>813.30254186472746</c:v>
                </c:pt>
                <c:pt idx="9">
                  <c:v>715.07610554475946</c:v>
                </c:pt>
                <c:pt idx="10">
                  <c:v>769.8252971839562</c:v>
                </c:pt>
                <c:pt idx="11">
                  <c:v>707.01727092513556</c:v>
                </c:pt>
                <c:pt idx="12">
                  <c:v>686.37012680671205</c:v>
                </c:pt>
                <c:pt idx="13">
                  <c:v>675.61528737307731</c:v>
                </c:pt>
                <c:pt idx="14">
                  <c:v>648.69574252271354</c:v>
                </c:pt>
                <c:pt idx="15">
                  <c:v>653.15590502148859</c:v>
                </c:pt>
                <c:pt idx="16">
                  <c:v>626.69048825063487</c:v>
                </c:pt>
                <c:pt idx="17">
                  <c:v>579.99914836993958</c:v>
                </c:pt>
                <c:pt idx="18">
                  <c:v>725.35809784572677</c:v>
                </c:pt>
                <c:pt idx="19">
                  <c:v>818.33215693465559</c:v>
                </c:pt>
                <c:pt idx="20">
                  <c:v>831.33138406681564</c:v>
                </c:pt>
                <c:pt idx="21">
                  <c:v>806.07457318122283</c:v>
                </c:pt>
                <c:pt idx="22">
                  <c:v>823.15182505575808</c:v>
                </c:pt>
                <c:pt idx="23">
                  <c:v>761.79495681830906</c:v>
                </c:pt>
                <c:pt idx="24">
                  <c:v>721.55318904190756</c:v>
                </c:pt>
                <c:pt idx="25">
                  <c:v>695.23189144995035</c:v>
                </c:pt>
                <c:pt idx="26">
                  <c:v>657.92909316836324</c:v>
                </c:pt>
                <c:pt idx="27">
                  <c:v>634.58558184725894</c:v>
                </c:pt>
              </c:numCache>
            </c:numRef>
          </c:val>
          <c:smooth val="0"/>
          <c:extLst xmlns:c16r2="http://schemas.microsoft.com/office/drawing/2015/06/chart">
            <c:ext xmlns:c16="http://schemas.microsoft.com/office/drawing/2014/chart" uri="{C3380CC4-5D6E-409C-BE32-E72D297353CC}">
              <c16:uniqueId val="{00000003-0C3A-4D6F-B862-5251B5A2CDD5}"/>
            </c:ext>
          </c:extLst>
        </c:ser>
        <c:ser>
          <c:idx val="4"/>
          <c:order val="4"/>
          <c:tx>
            <c:strRef>
              <c:f>'Real per person (Core)'!$A$10</c:f>
              <c:strCache>
                <c:ptCount val="1"/>
                <c:pt idx="0">
                  <c:v> Health </c:v>
                </c:pt>
              </c:strCache>
            </c:strRef>
          </c:tx>
          <c:spPr>
            <a:ln w="28575" cap="rnd">
              <a:solidFill>
                <a:schemeClr val="accent5"/>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(Core)'!$B$10:$AC$10</c:f>
              <c:numCache>
                <c:formatCode>_-* #,##0_-;\-* #,##0_-;_-* "-"??_-;_-@_-</c:formatCode>
                <c:ptCount val="28"/>
                <c:pt idx="0">
                  <c:v>1858.9781126790365</c:v>
                </c:pt>
                <c:pt idx="1">
                  <c:v>2003.5337953805463</c:v>
                </c:pt>
                <c:pt idx="2">
                  <c:v>2004.4179465151853</c:v>
                </c:pt>
                <c:pt idx="3">
                  <c:v>2069.649553018844</c:v>
                </c:pt>
                <c:pt idx="4">
                  <c:v>2173.8144803289115</c:v>
                </c:pt>
                <c:pt idx="5">
                  <c:v>2260.6540491856281</c:v>
                </c:pt>
                <c:pt idx="6">
                  <c:v>2472.1376771347077</c:v>
                </c:pt>
                <c:pt idx="7">
                  <c:v>2519.8031729703143</c:v>
                </c:pt>
                <c:pt idx="8">
                  <c:v>2350.9526600777276</c:v>
                </c:pt>
                <c:pt idx="9">
                  <c:v>2374.1336988624871</c:v>
                </c:pt>
                <c:pt idx="10">
                  <c:v>2446.8048958376503</c:v>
                </c:pt>
                <c:pt idx="11">
                  <c:v>2546.4551884874668</c:v>
                </c:pt>
                <c:pt idx="12">
                  <c:v>2660.0615336620731</c:v>
                </c:pt>
                <c:pt idx="13">
                  <c:v>2737.7330851234165</c:v>
                </c:pt>
                <c:pt idx="14">
                  <c:v>2884.1753601643186</c:v>
                </c:pt>
                <c:pt idx="15">
                  <c:v>2999.4724630194137</c:v>
                </c:pt>
                <c:pt idx="16">
                  <c:v>3190.9872205367856</c:v>
                </c:pt>
                <c:pt idx="17">
                  <c:v>3294.7766420599596</c:v>
                </c:pt>
                <c:pt idx="18">
                  <c:v>3253.7018655160732</c:v>
                </c:pt>
                <c:pt idx="19">
                  <c:v>3300.365520420029</c:v>
                </c:pt>
                <c:pt idx="20">
                  <c:v>3330.3792224925928</c:v>
                </c:pt>
                <c:pt idx="21">
                  <c:v>3317.3754119485798</c:v>
                </c:pt>
                <c:pt idx="22">
                  <c:v>3276.5054670075615</c:v>
                </c:pt>
                <c:pt idx="23">
                  <c:v>3315.8239541066564</c:v>
                </c:pt>
                <c:pt idx="24">
                  <c:v>3312.3252365101484</c:v>
                </c:pt>
                <c:pt idx="25">
                  <c:v>3320.014292901898</c:v>
                </c:pt>
                <c:pt idx="26">
                  <c:v>3409.2516506981456</c:v>
                </c:pt>
                <c:pt idx="27">
                  <c:v>3421.1001385218674</c:v>
                </c:pt>
              </c:numCache>
            </c:numRef>
          </c:val>
          <c:smooth val="0"/>
          <c:extLst xmlns:c16r2="http://schemas.microsoft.com/office/drawing/2015/06/chart">
            <c:ext xmlns:c16="http://schemas.microsoft.com/office/drawing/2014/chart" uri="{C3380CC4-5D6E-409C-BE32-E72D297353CC}">
              <c16:uniqueId val="{00000004-0C3A-4D6F-B862-5251B5A2CDD5}"/>
            </c:ext>
          </c:extLst>
        </c:ser>
        <c:ser>
          <c:idx val="5"/>
          <c:order val="5"/>
          <c:tx>
            <c:strRef>
              <c:f>'Real per person (Core)'!$A$11</c:f>
              <c:strCache>
                <c:ptCount val="1"/>
                <c:pt idx="0">
                  <c:v> Law and order </c:v>
                </c:pt>
              </c:strCache>
            </c:strRef>
          </c:tx>
          <c:spPr>
            <a:ln w="28575" cap="rnd">
              <a:solidFill>
                <a:schemeClr val="accent6"/>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(Core)'!$B$11:$AC$11</c:f>
              <c:numCache>
                <c:formatCode>_-* #,##0_-;\-* #,##0_-;_-* "-"??_-;_-@_-</c:formatCode>
                <c:ptCount val="28"/>
                <c:pt idx="0">
                  <c:v>470.09667244810566</c:v>
                </c:pt>
                <c:pt idx="1">
                  <c:v>500.66576807640769</c:v>
                </c:pt>
                <c:pt idx="2">
                  <c:v>488.18202135756661</c:v>
                </c:pt>
                <c:pt idx="3">
                  <c:v>488.51330306527416</c:v>
                </c:pt>
                <c:pt idx="4">
                  <c:v>494.96202440478771</c:v>
                </c:pt>
                <c:pt idx="5">
                  <c:v>506.67883621974164</c:v>
                </c:pt>
                <c:pt idx="6">
                  <c:v>563.78128374029006</c:v>
                </c:pt>
                <c:pt idx="7">
                  <c:v>561.21889115763042</c:v>
                </c:pt>
                <c:pt idx="8">
                  <c:v>543.96667405101778</c:v>
                </c:pt>
                <c:pt idx="9">
                  <c:v>585.09296076915393</c:v>
                </c:pt>
                <c:pt idx="10">
                  <c:v>565.62587513431345</c:v>
                </c:pt>
                <c:pt idx="11">
                  <c:v>578.61138113455809</c:v>
                </c:pt>
                <c:pt idx="12">
                  <c:v>596.72547963802538</c:v>
                </c:pt>
                <c:pt idx="13">
                  <c:v>640.91687915060606</c:v>
                </c:pt>
                <c:pt idx="14">
                  <c:v>751.75174283761419</c:v>
                </c:pt>
                <c:pt idx="15">
                  <c:v>768.38747525698705</c:v>
                </c:pt>
                <c:pt idx="16">
                  <c:v>796.97279465056033</c:v>
                </c:pt>
                <c:pt idx="17">
                  <c:v>800.85559604001617</c:v>
                </c:pt>
                <c:pt idx="18">
                  <c:v>800.11777133537123</c:v>
                </c:pt>
                <c:pt idx="19">
                  <c:v>793.15987754162143</c:v>
                </c:pt>
                <c:pt idx="20">
                  <c:v>793.88816339732386</c:v>
                </c:pt>
                <c:pt idx="21">
                  <c:v>779.57654163189545</c:v>
                </c:pt>
                <c:pt idx="22">
                  <c:v>764.83707773486378</c:v>
                </c:pt>
                <c:pt idx="23">
                  <c:v>774.1025076526995</c:v>
                </c:pt>
                <c:pt idx="24">
                  <c:v>792.60596487285932</c:v>
                </c:pt>
                <c:pt idx="25">
                  <c:v>801.70349907877858</c:v>
                </c:pt>
                <c:pt idx="26">
                  <c:v>822.98182521175602</c:v>
                </c:pt>
                <c:pt idx="27">
                  <c:v>831.28505246619477</c:v>
                </c:pt>
              </c:numCache>
            </c:numRef>
          </c:val>
          <c:smooth val="0"/>
          <c:extLst xmlns:c16r2="http://schemas.microsoft.com/office/drawing/2015/06/chart">
            <c:ext xmlns:c16="http://schemas.microsoft.com/office/drawing/2014/chart" uri="{C3380CC4-5D6E-409C-BE32-E72D297353CC}">
              <c16:uniqueId val="{00000005-0C3A-4D6F-B862-5251B5A2CDD5}"/>
            </c:ext>
          </c:extLst>
        </c:ser>
        <c:ser>
          <c:idx val="6"/>
          <c:order val="6"/>
          <c:tx>
            <c:strRef>
              <c:f>'Real per person (Core)'!$A$12</c:f>
              <c:strCache>
                <c:ptCount val="1"/>
                <c:pt idx="0">
                  <c:v> Welfare </c:v>
                </c:pt>
              </c:strCache>
            </c:strRef>
          </c:tx>
          <c:spPr>
            <a:ln w="28575" cap="rnd">
              <a:solidFill>
                <a:srgbClr val="00B0F0"/>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(Core)'!$B$12:$AC$12</c:f>
              <c:numCache>
                <c:formatCode>_-* #,##0_-;\-* #,##0_-;_-* "-"??_-;_-@_-</c:formatCode>
                <c:ptCount val="28"/>
                <c:pt idx="0">
                  <c:v>3081.9210802243688</c:v>
                </c:pt>
                <c:pt idx="1">
                  <c:v>2840.7705785532612</c:v>
                </c:pt>
                <c:pt idx="2">
                  <c:v>2785.0783909631696</c:v>
                </c:pt>
                <c:pt idx="3">
                  <c:v>2858.2812188435205</c:v>
                </c:pt>
                <c:pt idx="4">
                  <c:v>2910.8420680058048</c:v>
                </c:pt>
                <c:pt idx="5">
                  <c:v>2788.8055201001839</c:v>
                </c:pt>
                <c:pt idx="6">
                  <c:v>2946.7820934657589</c:v>
                </c:pt>
                <c:pt idx="7">
                  <c:v>2869.5110907785311</c:v>
                </c:pt>
                <c:pt idx="8">
                  <c:v>2800.6694301886923</c:v>
                </c:pt>
                <c:pt idx="9">
                  <c:v>2712.7651123947785</c:v>
                </c:pt>
                <c:pt idx="10">
                  <c:v>2696.0195259429647</c:v>
                </c:pt>
                <c:pt idx="11">
                  <c:v>2625.5707978449864</c:v>
                </c:pt>
                <c:pt idx="12">
                  <c:v>2595.4690942880025</c:v>
                </c:pt>
                <c:pt idx="13">
                  <c:v>2633.6378604560027</c:v>
                </c:pt>
                <c:pt idx="14">
                  <c:v>2773.5990571237357</c:v>
                </c:pt>
                <c:pt idx="15">
                  <c:v>2795.560375598071</c:v>
                </c:pt>
                <c:pt idx="16">
                  <c:v>3002.644669518686</c:v>
                </c:pt>
                <c:pt idx="17">
                  <c:v>3236.299878074587</c:v>
                </c:pt>
                <c:pt idx="18">
                  <c:v>3116.9579057786855</c:v>
                </c:pt>
                <c:pt idx="19">
                  <c:v>2900.4059700640428</c:v>
                </c:pt>
                <c:pt idx="20">
                  <c:v>2872.7909060899688</c:v>
                </c:pt>
                <c:pt idx="21">
                  <c:v>2754.0139008578353</c:v>
                </c:pt>
                <c:pt idx="22">
                  <c:v>2596.311809824294</c:v>
                </c:pt>
                <c:pt idx="23">
                  <c:v>2506.9207854739561</c:v>
                </c:pt>
                <c:pt idx="24">
                  <c:v>2501.343553749974</c:v>
                </c:pt>
                <c:pt idx="25">
                  <c:v>2472.0015815830711</c:v>
                </c:pt>
                <c:pt idx="26">
                  <c:v>2727.1731370579955</c:v>
                </c:pt>
                <c:pt idx="27">
                  <c:v>2672.1714999222927</c:v>
                </c:pt>
              </c:numCache>
            </c:numRef>
          </c:val>
          <c:smooth val="0"/>
          <c:extLst xmlns:c16r2="http://schemas.microsoft.com/office/drawing/2015/06/chart">
            <c:ext xmlns:c16="http://schemas.microsoft.com/office/drawing/2014/chart" uri="{C3380CC4-5D6E-409C-BE32-E72D297353CC}">
              <c16:uniqueId val="{00000006-0C3A-4D6F-B862-5251B5A2CDD5}"/>
            </c:ext>
          </c:extLst>
        </c:ser>
        <c:ser>
          <c:idx val="7"/>
          <c:order val="7"/>
          <c:tx>
            <c:strRef>
              <c:f>'Real per person (Core)'!$A$13</c:f>
              <c:strCache>
                <c:ptCount val="1"/>
                <c:pt idx="0">
                  <c:v> NZ super </c:v>
                </c:pt>
              </c:strCache>
            </c:strRef>
          </c:tx>
          <c:spPr>
            <a:ln w="28575" cap="rnd">
              <a:solidFill>
                <a:schemeClr val="accent2">
                  <a:lumMod val="60000"/>
                </a:schemeClr>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(Core)'!$B$13:$AC$13</c:f>
              <c:numCache>
                <c:formatCode>_-* #,##0_-;\-* #,##0_-;_-* "-"??_-;_-@_-</c:formatCode>
                <c:ptCount val="28"/>
                <c:pt idx="0">
                  <c:v>2301.8900517690686</c:v>
                </c:pt>
                <c:pt idx="1">
                  <c:v>2156.7445099242027</c:v>
                </c:pt>
                <c:pt idx="2">
                  <c:v>2024.5401118907057</c:v>
                </c:pt>
                <c:pt idx="3">
                  <c:v>1987.2640238784857</c:v>
                </c:pt>
                <c:pt idx="4">
                  <c:v>1965.3646048969433</c:v>
                </c:pt>
                <c:pt idx="5">
                  <c:v>1923.4960131881046</c:v>
                </c:pt>
                <c:pt idx="6">
                  <c:v>1907.2280786170854</c:v>
                </c:pt>
                <c:pt idx="7">
                  <c:v>1857.7774920880931</c:v>
                </c:pt>
                <c:pt idx="8">
                  <c:v>1861.3473538423211</c:v>
                </c:pt>
                <c:pt idx="9">
                  <c:v>1840.0211403299993</c:v>
                </c:pt>
                <c:pt idx="10">
                  <c:v>1840.404375725373</c:v>
                </c:pt>
                <c:pt idx="11">
                  <c:v>1848.856442485845</c:v>
                </c:pt>
                <c:pt idx="12">
                  <c:v>1836.0551808993973</c:v>
                </c:pt>
                <c:pt idx="13">
                  <c:v>1839.3023994952962</c:v>
                </c:pt>
                <c:pt idx="14">
                  <c:v>1896.7874652553367</c:v>
                </c:pt>
                <c:pt idx="15">
                  <c:v>1950.9713780885768</c:v>
                </c:pt>
                <c:pt idx="16">
                  <c:v>1997.9790617591257</c:v>
                </c:pt>
                <c:pt idx="17">
                  <c:v>2080.5681263465162</c:v>
                </c:pt>
                <c:pt idx="18">
                  <c:v>2089.0123952960753</c:v>
                </c:pt>
                <c:pt idx="19">
                  <c:v>2233.8067194707314</c:v>
                </c:pt>
                <c:pt idx="20">
                  <c:v>2351.1126598297478</c:v>
                </c:pt>
                <c:pt idx="21">
                  <c:v>2430.0253638471509</c:v>
                </c:pt>
                <c:pt idx="22">
                  <c:v>2522.1128216286788</c:v>
                </c:pt>
                <c:pt idx="23">
                  <c:v>2603.0470014735924</c:v>
                </c:pt>
                <c:pt idx="24">
                  <c:v>2663.0498711583477</c:v>
                </c:pt>
                <c:pt idx="25">
                  <c:v>2705.3287663310052</c:v>
                </c:pt>
                <c:pt idx="26">
                  <c:v>2745.0475112654599</c:v>
                </c:pt>
                <c:pt idx="27">
                  <c:v>2822.5454877412553</c:v>
                </c:pt>
              </c:numCache>
            </c:numRef>
          </c:val>
          <c:smooth val="0"/>
          <c:extLst xmlns:c16r2="http://schemas.microsoft.com/office/drawing/2015/06/chart">
            <c:ext xmlns:c16="http://schemas.microsoft.com/office/drawing/2014/chart" uri="{C3380CC4-5D6E-409C-BE32-E72D297353CC}">
              <c16:uniqueId val="{00000007-0C3A-4D6F-B862-5251B5A2CDD5}"/>
            </c:ext>
          </c:extLst>
        </c:ser>
        <c:ser>
          <c:idx val="8"/>
          <c:order val="8"/>
          <c:tx>
            <c:strRef>
              <c:f>'Real per person (Core)'!$A$14</c:f>
              <c:strCache>
                <c:ptCount val="1"/>
                <c:pt idx="0">
                  <c:v> All other </c:v>
                </c:pt>
              </c:strCache>
            </c:strRef>
          </c:tx>
          <c:spPr>
            <a:ln w="28575" cap="rnd">
              <a:solidFill>
                <a:schemeClr val="tx1"/>
              </a:solidFill>
              <a:prstDash val="sysDash"/>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(Core)'!$B$14:$AC$14</c:f>
              <c:numCache>
                <c:formatCode>_-* #,##0_-;\-* #,##0_-;_-* "-"??_-;_-@_-</c:formatCode>
                <c:ptCount val="28"/>
                <c:pt idx="0">
                  <c:v>1337.5900575634428</c:v>
                </c:pt>
                <c:pt idx="1">
                  <c:v>531.57643723590775</c:v>
                </c:pt>
                <c:pt idx="2">
                  <c:v>692.06980674807983</c:v>
                </c:pt>
                <c:pt idx="3">
                  <c:v>733.95758823583321</c:v>
                </c:pt>
                <c:pt idx="4">
                  <c:v>929.64764302725916</c:v>
                </c:pt>
                <c:pt idx="5">
                  <c:v>1209.625087807874</c:v>
                </c:pt>
                <c:pt idx="6">
                  <c:v>1390.4599105989676</c:v>
                </c:pt>
                <c:pt idx="7">
                  <c:v>1184.0215665833746</c:v>
                </c:pt>
                <c:pt idx="8">
                  <c:v>1345.267355488922</c:v>
                </c:pt>
                <c:pt idx="9">
                  <c:v>1494.6373556405333</c:v>
                </c:pt>
                <c:pt idx="10">
                  <c:v>1321.0984972860265</c:v>
                </c:pt>
                <c:pt idx="11">
                  <c:v>1392.999836187756</c:v>
                </c:pt>
                <c:pt idx="12">
                  <c:v>1622.9604977307349</c:v>
                </c:pt>
                <c:pt idx="13">
                  <c:v>1657.4942109577194</c:v>
                </c:pt>
                <c:pt idx="14">
                  <c:v>1740.8108161300811</c:v>
                </c:pt>
                <c:pt idx="15">
                  <c:v>2120.1015860148732</c:v>
                </c:pt>
                <c:pt idx="16">
                  <c:v>2123.1107566136166</c:v>
                </c:pt>
                <c:pt idx="17">
                  <c:v>1928.9802918093271</c:v>
                </c:pt>
                <c:pt idx="18">
                  <c:v>2181.7522434224693</c:v>
                </c:pt>
                <c:pt idx="19">
                  <c:v>1667.8965864495572</c:v>
                </c:pt>
                <c:pt idx="20">
                  <c:v>1697.5791456904581</c:v>
                </c:pt>
                <c:pt idx="21">
                  <c:v>1682.0683220472258</c:v>
                </c:pt>
                <c:pt idx="22">
                  <c:v>1634.1184790295381</c:v>
                </c:pt>
                <c:pt idx="23">
                  <c:v>1633.5090745368643</c:v>
                </c:pt>
                <c:pt idx="24">
                  <c:v>1637.8889876893554</c:v>
                </c:pt>
                <c:pt idx="25">
                  <c:v>1876.512608803994</c:v>
                </c:pt>
                <c:pt idx="26">
                  <c:v>1752.2591310827938</c:v>
                </c:pt>
                <c:pt idx="27">
                  <c:v>1677.2766074085719</c:v>
                </c:pt>
              </c:numCache>
            </c:numRef>
          </c:val>
          <c:smooth val="0"/>
          <c:extLst xmlns:c16r2="http://schemas.microsoft.com/office/drawing/2015/06/chart">
            <c:ext xmlns:c16="http://schemas.microsoft.com/office/drawing/2014/chart" uri="{C3380CC4-5D6E-409C-BE32-E72D297353CC}">
              <c16:uniqueId val="{00000008-0C3A-4D6F-B862-5251B5A2CDD5}"/>
            </c:ext>
          </c:extLst>
        </c:ser>
        <c:dLbls>
          <c:showLegendKey val="0"/>
          <c:showVal val="0"/>
          <c:showCatName val="0"/>
          <c:showSerName val="0"/>
          <c:showPercent val="0"/>
          <c:showBubbleSize val="0"/>
        </c:dLbls>
        <c:smooth val="0"/>
        <c:axId val="246036536"/>
        <c:axId val="246036928"/>
      </c:lineChart>
      <c:dateAx>
        <c:axId val="246036536"/>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036928"/>
        <c:crosses val="autoZero"/>
        <c:auto val="0"/>
        <c:lblOffset val="100"/>
        <c:baseTimeUnit val="years"/>
        <c:majorUnit val="4"/>
        <c:majorTimeUnit val="years"/>
      </c:dateAx>
      <c:valAx>
        <c:axId val="246036928"/>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t>
                </a:r>
                <a:r>
                  <a:rPr lang="en-US" baseline="0"/>
                  <a:t> million</a:t>
                </a:r>
                <a:endParaRPr lang="en-US"/>
              </a:p>
            </c:rich>
          </c:tx>
          <c:layout>
            <c:manualLayout>
              <c:xMode val="edge"/>
              <c:yMode val="edge"/>
              <c:x val="0"/>
              <c:y val="0.39396361913094197"/>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036536"/>
        <c:crosses val="autoZero"/>
        <c:crossBetween val="between"/>
      </c:valAx>
      <c:spPr>
        <a:noFill/>
        <a:ln>
          <a:noFill/>
        </a:ln>
        <a:effectLst/>
      </c:spPr>
    </c:plotArea>
    <c:legend>
      <c:legendPos val="b"/>
      <c:layout>
        <c:manualLayout>
          <c:xMode val="edge"/>
          <c:yMode val="edge"/>
          <c:x val="0.12502602799650042"/>
          <c:y val="9.9471420239136757E-2"/>
          <c:w val="0.87217016622922139"/>
          <c:h val="0.2708989501312336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Annual per capita spending</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994028871391076"/>
          <c:y val="0.25879666083406239"/>
          <c:w val="0.82186395450568683"/>
          <c:h val="0.57142242636337137"/>
        </c:manualLayout>
      </c:layout>
      <c:lineChart>
        <c:grouping val="standard"/>
        <c:varyColors val="0"/>
        <c:ser>
          <c:idx val="0"/>
          <c:order val="0"/>
          <c:tx>
            <c:strRef>
              <c:f>'Nominal per person (Total)'!$A$6</c:f>
              <c:strCache>
                <c:ptCount val="1"/>
                <c:pt idx="0">
                  <c:v> Taxation revenue </c:v>
                </c:pt>
              </c:strCache>
            </c:strRef>
          </c:tx>
          <c:spPr>
            <a:ln w="28575" cap="rnd">
              <a:solidFill>
                <a:schemeClr val="accent1"/>
              </a:solidFill>
              <a:prstDash val="sysDash"/>
              <a:round/>
            </a:ln>
            <a:effectLst/>
          </c:spPr>
          <c:marker>
            <c:symbol val="none"/>
          </c:marker>
          <c:cat>
            <c:numRef>
              <c:f>'Nominal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'Nominal per person (Total)'!$B$6:$Y$6</c:f>
              <c:numCache>
                <c:formatCode>_-* #,##0_-;\-* #,##0_-;_-* "-"??_-;_-@_-</c:formatCode>
                <c:ptCount val="24"/>
                <c:pt idx="0">
                  <c:v>8384.6575056712991</c:v>
                </c:pt>
                <c:pt idx="1">
                  <c:v>8822.6145112372651</c:v>
                </c:pt>
                <c:pt idx="2">
                  <c:v>9466.8212859167634</c:v>
                </c:pt>
                <c:pt idx="3">
                  <c:v>9171.837406610106</c:v>
                </c:pt>
                <c:pt idx="4">
                  <c:v>9879.0723083035355</c:v>
                </c:pt>
                <c:pt idx="5">
                  <c:v>10405.382262996942</c:v>
                </c:pt>
                <c:pt idx="6">
                  <c:v>11278.453760371562</c:v>
                </c:pt>
                <c:pt idx="7">
                  <c:v>12500.746780479994</c:v>
                </c:pt>
                <c:pt idx="8">
                  <c:v>12533.085850383299</c:v>
                </c:pt>
                <c:pt idx="9">
                  <c:v>13233.640471858676</c:v>
                </c:pt>
                <c:pt idx="10">
                  <c:v>12584.280630968789</c:v>
                </c:pt>
                <c:pt idx="11">
                  <c:v>11572.240597425223</c:v>
                </c:pt>
                <c:pt idx="12">
                  <c:v>11662.488566299495</c:v>
                </c:pt>
                <c:pt idx="13">
                  <c:v>12401.372057042001</c:v>
                </c:pt>
                <c:pt idx="14">
                  <c:v>13087.053420679409</c:v>
                </c:pt>
                <c:pt idx="15">
                  <c:v>13499.597533311602</c:v>
                </c:pt>
                <c:pt idx="16">
                  <c:v>14373.062068215198</c:v>
                </c:pt>
                <c:pt idx="17">
                  <c:v>14845.088429575964</c:v>
                </c:pt>
                <c:pt idx="18">
                  <c:v>15639.249880055904</c:v>
                </c:pt>
                <c:pt idx="19">
                  <c:v>15882.580273477743</c:v>
                </c:pt>
                <c:pt idx="20">
                  <c:v>16546.822941432452</c:v>
                </c:pt>
                <c:pt idx="21">
                  <c:v>17308.269869146759</c:v>
                </c:pt>
                <c:pt idx="22">
                  <c:v>18106.534715967235</c:v>
                </c:pt>
                <c:pt idx="23">
                  <c:v>18856.962415184502</c:v>
                </c:pt>
              </c:numCache>
            </c:numRef>
          </c:val>
          <c:smooth val="0"/>
          <c:extLst xmlns:c16r2="http://schemas.microsoft.com/office/drawing/2015/06/chart">
            <c:ext xmlns:c16="http://schemas.microsoft.com/office/drawing/2014/chart" uri="{C3380CC4-5D6E-409C-BE32-E72D297353CC}">
              <c16:uniqueId val="{00000000-7E0B-4249-B616-AF95C1453FD2}"/>
            </c:ext>
          </c:extLst>
        </c:ser>
        <c:ser>
          <c:idx val="1"/>
          <c:order val="1"/>
          <c:tx>
            <c:strRef>
              <c:f>'Nominal per person (Total)'!$A$7</c:f>
              <c:strCache>
                <c:ptCount val="1"/>
                <c:pt idx="0">
                  <c:v> Other revenue </c:v>
                </c:pt>
              </c:strCache>
            </c:strRef>
          </c:tx>
          <c:spPr>
            <a:ln w="28575" cap="rnd">
              <a:solidFill>
                <a:schemeClr val="accent2"/>
              </a:solidFill>
              <a:round/>
            </a:ln>
            <a:effectLst/>
          </c:spPr>
          <c:marker>
            <c:symbol val="none"/>
          </c:marker>
          <c:cat>
            <c:numRef>
              <c:f>'Nominal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'Nominal per person (Total)'!$B$7:$Y$7</c:f>
              <c:numCache>
                <c:formatCode>_-* #,##0_-;\-* #,##0_-;_-* "-"??_-;_-@_-</c:formatCode>
                <c:ptCount val="24"/>
                <c:pt idx="0">
                  <c:v>2036.3410155071385</c:v>
                </c:pt>
                <c:pt idx="1">
                  <c:v>1964.0009113693325</c:v>
                </c:pt>
                <c:pt idx="2">
                  <c:v>2155.5337900220206</c:v>
                </c:pt>
                <c:pt idx="3">
                  <c:v>3477.9437113741683</c:v>
                </c:pt>
                <c:pt idx="4">
                  <c:v>4177.9684909532471</c:v>
                </c:pt>
                <c:pt idx="5">
                  <c:v>4095.1395001264632</c:v>
                </c:pt>
                <c:pt idx="6">
                  <c:v>4476.8862333389779</c:v>
                </c:pt>
                <c:pt idx="7">
                  <c:v>4511.2710084284636</c:v>
                </c:pt>
                <c:pt idx="8">
                  <c:v>5069.0600540737623</c:v>
                </c:pt>
                <c:pt idx="9">
                  <c:v>5836.7275074828331</c:v>
                </c:pt>
                <c:pt idx="10">
                  <c:v>5826.7229738366887</c:v>
                </c:pt>
                <c:pt idx="11">
                  <c:v>5497.7739060880276</c:v>
                </c:pt>
                <c:pt idx="12">
                  <c:v>6862.2732363588257</c:v>
                </c:pt>
                <c:pt idx="13">
                  <c:v>6506.6084691854321</c:v>
                </c:pt>
                <c:pt idx="14">
                  <c:v>6343.1710227144822</c:v>
                </c:pt>
                <c:pt idx="15">
                  <c:v>6279.8108073947433</c:v>
                </c:pt>
                <c:pt idx="16">
                  <c:v>6301.0390034270795</c:v>
                </c:pt>
                <c:pt idx="17">
                  <c:v>6070.9567440869378</c:v>
                </c:pt>
                <c:pt idx="18">
                  <c:v>6102.3383883685483</c:v>
                </c:pt>
                <c:pt idx="19">
                  <c:v>6297.4303671211646</c:v>
                </c:pt>
                <c:pt idx="20">
                  <c:v>6419.4937726836997</c:v>
                </c:pt>
                <c:pt idx="21">
                  <c:v>6614.2643756576008</c:v>
                </c:pt>
                <c:pt idx="22">
                  <c:v>6707.3322926171977</c:v>
                </c:pt>
                <c:pt idx="23">
                  <c:v>6821.9893414801836</c:v>
                </c:pt>
              </c:numCache>
            </c:numRef>
          </c:val>
          <c:smooth val="0"/>
          <c:extLst xmlns:c16r2="http://schemas.microsoft.com/office/drawing/2015/06/chart">
            <c:ext xmlns:c16="http://schemas.microsoft.com/office/drawing/2014/chart" uri="{C3380CC4-5D6E-409C-BE32-E72D297353CC}">
              <c16:uniqueId val="{00000001-7E0B-4249-B616-AF95C1453FD2}"/>
            </c:ext>
          </c:extLst>
        </c:ser>
        <c:ser>
          <c:idx val="3"/>
          <c:order val="2"/>
          <c:tx>
            <c:strRef>
              <c:f>'Nominal per person (Total)'!$A$9</c:f>
              <c:strCache>
                <c:ptCount val="1"/>
                <c:pt idx="0">
                  <c:v> Total expenses (excluding losses) </c:v>
                </c:pt>
              </c:strCache>
            </c:strRef>
          </c:tx>
          <c:spPr>
            <a:ln w="28575" cap="rnd">
              <a:solidFill>
                <a:srgbClr val="FF0000"/>
              </a:solidFill>
              <a:prstDash val="sysDash"/>
              <a:round/>
            </a:ln>
            <a:effectLst/>
          </c:spPr>
          <c:marker>
            <c:symbol val="none"/>
          </c:marker>
          <c:cat>
            <c:numRef>
              <c:f>'Nominal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'Nominal per person (Total)'!$B$9:$Y$9</c:f>
              <c:numCache>
                <c:formatCode>_-* #,##0_-;\-* #,##0_-;_-* "-"??_-;_-@_-</c:formatCode>
                <c:ptCount val="24"/>
                <c:pt idx="0">
                  <c:v>10387.622598777458</c:v>
                </c:pt>
                <c:pt idx="1">
                  <c:v>10632.746537001185</c:v>
                </c:pt>
                <c:pt idx="2">
                  <c:v>11256.02857162233</c:v>
                </c:pt>
                <c:pt idx="3">
                  <c:v>12023.919337561327</c:v>
                </c:pt>
                <c:pt idx="4">
                  <c:v>12972.936957878155</c:v>
                </c:pt>
                <c:pt idx="5">
                  <c:v>13137.067903796187</c:v>
                </c:pt>
                <c:pt idx="6">
                  <c:v>14044.122983139408</c:v>
                </c:pt>
                <c:pt idx="7">
                  <c:v>15317.483266143005</c:v>
                </c:pt>
                <c:pt idx="8">
                  <c:v>16214.789315933767</c:v>
                </c:pt>
                <c:pt idx="9">
                  <c:v>17747.050883267799</c:v>
                </c:pt>
                <c:pt idx="10">
                  <c:v>19315.807455509355</c:v>
                </c:pt>
                <c:pt idx="11">
                  <c:v>18521.515076988144</c:v>
                </c:pt>
                <c:pt idx="12">
                  <c:v>22720.958400718984</c:v>
                </c:pt>
                <c:pt idx="13">
                  <c:v>21004.17878484022</c:v>
                </c:pt>
                <c:pt idx="14">
                  <c:v>20409.941244006211</c:v>
                </c:pt>
                <c:pt idx="15">
                  <c:v>20365.479667116808</c:v>
                </c:pt>
                <c:pt idx="16">
                  <c:v>20512.865147146822</c:v>
                </c:pt>
                <c:pt idx="17">
                  <c:v>20430.42829746431</c:v>
                </c:pt>
                <c:pt idx="18">
                  <c:v>20820.626212478361</c:v>
                </c:pt>
                <c:pt idx="19">
                  <c:v>21573.352988029837</c:v>
                </c:pt>
                <c:pt idx="20">
                  <c:v>22309.92881972382</c:v>
                </c:pt>
                <c:pt idx="21">
                  <c:v>22837.361295365536</c:v>
                </c:pt>
                <c:pt idx="22">
                  <c:v>23440.090264403872</c:v>
                </c:pt>
                <c:pt idx="23">
                  <c:v>23870.83777956837</c:v>
                </c:pt>
              </c:numCache>
            </c:numRef>
          </c:val>
          <c:smooth val="0"/>
          <c:extLst xmlns:c16r2="http://schemas.microsoft.com/office/drawing/2015/06/chart">
            <c:ext xmlns:c16="http://schemas.microsoft.com/office/drawing/2014/chart" uri="{C3380CC4-5D6E-409C-BE32-E72D297353CC}">
              <c16:uniqueId val="{00000003-7E0B-4249-B616-AF95C1453FD2}"/>
            </c:ext>
          </c:extLst>
        </c:ser>
        <c:dLbls>
          <c:showLegendKey val="0"/>
          <c:showVal val="0"/>
          <c:showCatName val="0"/>
          <c:showSerName val="0"/>
          <c:showPercent val="0"/>
          <c:showBubbleSize val="0"/>
        </c:dLbls>
        <c:smooth val="0"/>
        <c:axId val="245231416"/>
        <c:axId val="245234944"/>
      </c:lineChart>
      <c:dateAx>
        <c:axId val="245231416"/>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5234944"/>
        <c:crosses val="autoZero"/>
        <c:auto val="0"/>
        <c:lblOffset val="100"/>
        <c:baseTimeUnit val="years"/>
        <c:majorUnit val="4"/>
        <c:majorTimeUnit val="years"/>
      </c:dateAx>
      <c:valAx>
        <c:axId val="245234944"/>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5231416"/>
        <c:crosses val="autoZero"/>
        <c:crossBetween val="between"/>
      </c:valAx>
      <c:spPr>
        <a:noFill/>
        <a:ln>
          <a:noFill/>
        </a:ln>
        <a:effectLst/>
      </c:spPr>
    </c:plotArea>
    <c:legend>
      <c:legendPos val="b"/>
      <c:layout>
        <c:manualLayout>
          <c:xMode val="edge"/>
          <c:yMode val="edge"/>
          <c:x val="0.11669269466316713"/>
          <c:y val="0.12724919801691456"/>
          <c:w val="0.84994794400699925"/>
          <c:h val="0.31719524642752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Weekly revenue</a:t>
            </a:r>
            <a:r>
              <a:rPr lang="en-US" baseline="0"/>
              <a:t> and expense per capita</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D3DF-4F8A-B282-474AAC93DE1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D3DF-4F8A-B282-474AAC93DE1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D3DF-4F8A-B282-474AAC93DE11}"/>
              </c:ext>
            </c:extLst>
          </c:dPt>
          <c:dLbls>
            <c:dLbl>
              <c:idx val="0"/>
              <c:layout>
                <c:manualLayout>
                  <c:x val="1.7161089238845146E-2"/>
                  <c:y val="-5.4132764654418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D3DF-4F8A-B282-474AAC93DE11}"/>
                </c:ext>
                <c:ext xmlns:c15="http://schemas.microsoft.com/office/drawing/2012/chart" uri="{CE6537A1-D6FC-4f65-9D91-7224C49458BB}">
                  <c15:layout/>
                </c:ext>
              </c:extLst>
            </c:dLbl>
            <c:dLbl>
              <c:idx val="2"/>
              <c:layout>
                <c:manualLayout>
                  <c:x val="-6.9230752405949253E-2"/>
                  <c:y val="-3.161344415281423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D3DF-4F8A-B282-474AAC93DE1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'Nominal per person (Total)'!$A$37:$A$39</c:f>
              <c:strCache>
                <c:ptCount val="3"/>
                <c:pt idx="0">
                  <c:v> Taxation revenue </c:v>
                </c:pt>
                <c:pt idx="1">
                  <c:v> Other revenue </c:v>
                </c:pt>
                <c:pt idx="2">
                  <c:v> Total expenses (excluding losses) </c:v>
                </c:pt>
              </c:strCache>
            </c:strRef>
          </c:cat>
          <c:val>
            <c:numRef>
              <c:f>'Nominal per person (Total)'!$R$37:$R$39</c:f>
              <c:numCache>
                <c:formatCode>"$"#,##0.00</c:formatCode>
                <c:ptCount val="3"/>
                <c:pt idx="0">
                  <c:v>275.64753913217714</c:v>
                </c:pt>
                <c:pt idx="1">
                  <c:v>120.84174457935941</c:v>
                </c:pt>
                <c:pt idx="2">
                  <c:v>393.39709044082366</c:v>
                </c:pt>
              </c:numCache>
            </c:numRef>
          </c:val>
          <c:extLst xmlns:c16r2="http://schemas.microsoft.com/office/drawing/2015/06/chart">
            <c:ext xmlns:c16="http://schemas.microsoft.com/office/drawing/2014/chart" uri="{C3380CC4-5D6E-409C-BE32-E72D297353CC}">
              <c16:uniqueId val="{00000012-D3DF-4F8A-B282-474AAC93DE1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Nominal </a:t>
            </a:r>
            <a:r>
              <a:rPr lang="en-US" baseline="0"/>
              <a:t>per capita</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63451443569554"/>
          <c:y val="0.25649825021872263"/>
          <c:w val="0.8108099300087489"/>
          <c:h val="0.61032225138524354"/>
        </c:manualLayout>
      </c:layout>
      <c:lineChart>
        <c:grouping val="standard"/>
        <c:varyColors val="0"/>
        <c:ser>
          <c:idx val="0"/>
          <c:order val="0"/>
          <c:tx>
            <c:strRef>
              <c:f>'Nominal per person (Total)'!$A$8</c:f>
              <c:strCache>
                <c:ptCount val="1"/>
                <c:pt idx="0">
                  <c:v> Total revenue (excluding gains) </c:v>
                </c:pt>
              </c:strCache>
            </c:strRef>
          </c:tx>
          <c:spPr>
            <a:ln w="28575" cap="rnd">
              <a:solidFill>
                <a:schemeClr val="accent1"/>
              </a:solidFill>
              <a:round/>
            </a:ln>
            <a:effectLst/>
          </c:spPr>
          <c:marker>
            <c:symbol val="none"/>
          </c:marker>
          <c:cat>
            <c:numRef>
              <c:f>'Nominal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'Nominal per person (Total)'!$B$8:$Y$8</c:f>
              <c:numCache>
                <c:formatCode>_-* #,##0_-;\-* #,##0_-;_-* "-"??_-;_-@_-</c:formatCode>
                <c:ptCount val="24"/>
                <c:pt idx="0">
                  <c:v>10420.998521178437</c:v>
                </c:pt>
                <c:pt idx="1">
                  <c:v>10786.615422606599</c:v>
                </c:pt>
                <c:pt idx="2">
                  <c:v>11622.355075938784</c:v>
                </c:pt>
                <c:pt idx="3">
                  <c:v>12649.781117984272</c:v>
                </c:pt>
                <c:pt idx="4">
                  <c:v>14057.040799256782</c:v>
                </c:pt>
                <c:pt idx="5">
                  <c:v>14500.521763123406</c:v>
                </c:pt>
                <c:pt idx="6">
                  <c:v>15755.339993710541</c:v>
                </c:pt>
                <c:pt idx="7">
                  <c:v>17012.017788908459</c:v>
                </c:pt>
                <c:pt idx="8">
                  <c:v>17602.145904457062</c:v>
                </c:pt>
                <c:pt idx="9">
                  <c:v>19070.36797934151</c:v>
                </c:pt>
                <c:pt idx="10">
                  <c:v>18411.003604805479</c:v>
                </c:pt>
                <c:pt idx="11">
                  <c:v>17070.014503513252</c:v>
                </c:pt>
                <c:pt idx="12">
                  <c:v>18524.761802658322</c:v>
                </c:pt>
                <c:pt idx="13">
                  <c:v>18907.980526227431</c:v>
                </c:pt>
                <c:pt idx="14">
                  <c:v>19430.22444339389</c:v>
                </c:pt>
                <c:pt idx="15">
                  <c:v>19779.408340706344</c:v>
                </c:pt>
                <c:pt idx="16">
                  <c:v>20674.101071642279</c:v>
                </c:pt>
                <c:pt idx="17">
                  <c:v>20916.045173662904</c:v>
                </c:pt>
                <c:pt idx="18">
                  <c:v>21741.588268424453</c:v>
                </c:pt>
                <c:pt idx="19">
                  <c:v>22180.010640598906</c:v>
                </c:pt>
                <c:pt idx="20">
                  <c:v>22966.316714116154</c:v>
                </c:pt>
                <c:pt idx="21">
                  <c:v>23922.534244804359</c:v>
                </c:pt>
                <c:pt idx="22">
                  <c:v>24813.867008584435</c:v>
                </c:pt>
                <c:pt idx="23">
                  <c:v>25678.951756664686</c:v>
                </c:pt>
              </c:numCache>
            </c:numRef>
          </c:val>
          <c:smooth val="0"/>
          <c:extLst xmlns:c16r2="http://schemas.microsoft.com/office/drawing/2015/06/chart">
            <c:ext xmlns:c16="http://schemas.microsoft.com/office/drawing/2014/chart" uri="{C3380CC4-5D6E-409C-BE32-E72D297353CC}">
              <c16:uniqueId val="{00000000-F1B2-4AF9-9B29-25E0C817DC4F}"/>
            </c:ext>
          </c:extLst>
        </c:ser>
        <c:ser>
          <c:idx val="1"/>
          <c:order val="1"/>
          <c:tx>
            <c:strRef>
              <c:f>'Nominal per person (Total)'!$A$9</c:f>
              <c:strCache>
                <c:ptCount val="1"/>
                <c:pt idx="0">
                  <c:v> Total expenses (excluding losses) </c:v>
                </c:pt>
              </c:strCache>
            </c:strRef>
          </c:tx>
          <c:spPr>
            <a:ln w="28575" cap="rnd">
              <a:solidFill>
                <a:schemeClr val="accent2"/>
              </a:solidFill>
              <a:round/>
            </a:ln>
            <a:effectLst/>
          </c:spPr>
          <c:marker>
            <c:symbol val="none"/>
          </c:marker>
          <c:cat>
            <c:numRef>
              <c:f>'Nominal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'Nominal per person (Total)'!$B$9:$Y$9</c:f>
              <c:numCache>
                <c:formatCode>_-* #,##0_-;\-* #,##0_-;_-* "-"??_-;_-@_-</c:formatCode>
                <c:ptCount val="24"/>
                <c:pt idx="0">
                  <c:v>10387.622598777458</c:v>
                </c:pt>
                <c:pt idx="1">
                  <c:v>10632.746537001185</c:v>
                </c:pt>
                <c:pt idx="2">
                  <c:v>11256.02857162233</c:v>
                </c:pt>
                <c:pt idx="3">
                  <c:v>12023.919337561327</c:v>
                </c:pt>
                <c:pt idx="4">
                  <c:v>12972.936957878155</c:v>
                </c:pt>
                <c:pt idx="5">
                  <c:v>13137.067903796187</c:v>
                </c:pt>
                <c:pt idx="6">
                  <c:v>14044.122983139408</c:v>
                </c:pt>
                <c:pt idx="7">
                  <c:v>15317.483266143005</c:v>
                </c:pt>
                <c:pt idx="8">
                  <c:v>16214.789315933767</c:v>
                </c:pt>
                <c:pt idx="9">
                  <c:v>17747.050883267799</c:v>
                </c:pt>
                <c:pt idx="10">
                  <c:v>19315.807455509355</c:v>
                </c:pt>
                <c:pt idx="11">
                  <c:v>18521.515076988144</c:v>
                </c:pt>
                <c:pt idx="12">
                  <c:v>22720.958400718984</c:v>
                </c:pt>
                <c:pt idx="13">
                  <c:v>21004.17878484022</c:v>
                </c:pt>
                <c:pt idx="14">
                  <c:v>20409.941244006211</c:v>
                </c:pt>
                <c:pt idx="15">
                  <c:v>20365.479667116808</c:v>
                </c:pt>
                <c:pt idx="16">
                  <c:v>20512.865147146822</c:v>
                </c:pt>
                <c:pt idx="17">
                  <c:v>20430.42829746431</c:v>
                </c:pt>
                <c:pt idx="18">
                  <c:v>20820.626212478361</c:v>
                </c:pt>
                <c:pt idx="19">
                  <c:v>21573.352988029837</c:v>
                </c:pt>
                <c:pt idx="20">
                  <c:v>22309.92881972382</c:v>
                </c:pt>
                <c:pt idx="21">
                  <c:v>22837.361295365536</c:v>
                </c:pt>
                <c:pt idx="22">
                  <c:v>23440.090264403872</c:v>
                </c:pt>
                <c:pt idx="23">
                  <c:v>23870.83777956837</c:v>
                </c:pt>
              </c:numCache>
            </c:numRef>
          </c:val>
          <c:smooth val="0"/>
          <c:extLst xmlns:c16r2="http://schemas.microsoft.com/office/drawing/2015/06/chart">
            <c:ext xmlns:c16="http://schemas.microsoft.com/office/drawing/2014/chart" uri="{C3380CC4-5D6E-409C-BE32-E72D297353CC}">
              <c16:uniqueId val="{00000001-F1B2-4AF9-9B29-25E0C817DC4F}"/>
            </c:ext>
          </c:extLst>
        </c:ser>
        <c:dLbls>
          <c:showLegendKey val="0"/>
          <c:showVal val="0"/>
          <c:showCatName val="0"/>
          <c:showSerName val="0"/>
          <c:showPercent val="0"/>
          <c:showBubbleSize val="0"/>
        </c:dLbls>
        <c:smooth val="0"/>
        <c:axId val="246301568"/>
        <c:axId val="184676576"/>
      </c:lineChart>
      <c:dateAx>
        <c:axId val="246301568"/>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4676576"/>
        <c:crosses val="autoZero"/>
        <c:auto val="1"/>
        <c:lblOffset val="100"/>
        <c:baseTimeUnit val="years"/>
        <c:majorUnit val="3"/>
        <c:majorTimeUnit val="years"/>
      </c:dateAx>
      <c:valAx>
        <c:axId val="18467657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3015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'Nominal per person (Total)'!$A$10</c:f>
              <c:strCache>
                <c:ptCount val="1"/>
                <c:pt idx="0">
                  <c:v>OBEGAL</c:v>
                </c:pt>
              </c:strCache>
            </c:strRef>
          </c:tx>
          <c:spPr>
            <a:ln w="28575" cap="rnd">
              <a:solidFill>
                <a:schemeClr val="accent1"/>
              </a:solidFill>
              <a:round/>
            </a:ln>
            <a:effectLst/>
          </c:spPr>
          <c:marker>
            <c:symbol val="none"/>
          </c:marker>
          <c:cat>
            <c:numRef>
              <c:f>'Nominal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'Nominal per person (Total)'!$B$10:$Y$10</c:f>
              <c:numCache>
                <c:formatCode>_-* #,##0_-;\-* #,##0_-;_-* "-"??_-;_-@_-</c:formatCode>
                <c:ptCount val="24"/>
                <c:pt idx="0">
                  <c:v>33.375922400979107</c:v>
                </c:pt>
                <c:pt idx="1">
                  <c:v>153.86888560541411</c:v>
                </c:pt>
                <c:pt idx="2">
                  <c:v>366.32650431645379</c:v>
                </c:pt>
                <c:pt idx="3">
                  <c:v>625.86178042294523</c:v>
                </c:pt>
                <c:pt idx="4">
                  <c:v>1084.1038413786264</c:v>
                </c:pt>
                <c:pt idx="5">
                  <c:v>1363.4538593272191</c:v>
                </c:pt>
                <c:pt idx="6">
                  <c:v>1711.2170105711321</c:v>
                </c:pt>
                <c:pt idx="7">
                  <c:v>1694.5345227654543</c:v>
                </c:pt>
                <c:pt idx="8">
                  <c:v>1387.3565885232947</c:v>
                </c:pt>
                <c:pt idx="9">
                  <c:v>1323.3170960737116</c:v>
                </c:pt>
                <c:pt idx="10">
                  <c:v>-904.80385070387638</c:v>
                </c:pt>
                <c:pt idx="11">
                  <c:v>-1451.500573474892</c:v>
                </c:pt>
                <c:pt idx="12">
                  <c:v>-4196.1965980606619</c:v>
                </c:pt>
                <c:pt idx="13">
                  <c:v>-2096.1982586127888</c:v>
                </c:pt>
                <c:pt idx="14">
                  <c:v>-979.71680061232109</c:v>
                </c:pt>
                <c:pt idx="15">
                  <c:v>-586.07132641046337</c:v>
                </c:pt>
                <c:pt idx="16">
                  <c:v>161.23592449545686</c:v>
                </c:pt>
                <c:pt idx="17">
                  <c:v>485.61687619859367</c:v>
                </c:pt>
                <c:pt idx="18">
                  <c:v>920.96205594609273</c:v>
                </c:pt>
                <c:pt idx="19">
                  <c:v>606.65765256906889</c:v>
                </c:pt>
                <c:pt idx="20">
                  <c:v>656.38789439233369</c:v>
                </c:pt>
                <c:pt idx="21">
                  <c:v>1085.1729494388237</c:v>
                </c:pt>
                <c:pt idx="22">
                  <c:v>1373.7767441805627</c:v>
                </c:pt>
                <c:pt idx="23">
                  <c:v>1808.1139770963164</c:v>
                </c:pt>
              </c:numCache>
            </c:numRef>
          </c:val>
          <c:smooth val="0"/>
          <c:extLst xmlns:c16r2="http://schemas.microsoft.com/office/drawing/2015/06/chart">
            <c:ext xmlns:c16="http://schemas.microsoft.com/office/drawing/2014/chart" uri="{C3380CC4-5D6E-409C-BE32-E72D297353CC}">
              <c16:uniqueId val="{00000000-B39A-44DE-B3DE-8204CF015B22}"/>
            </c:ext>
          </c:extLst>
        </c:ser>
        <c:dLbls>
          <c:showLegendKey val="0"/>
          <c:showVal val="0"/>
          <c:showCatName val="0"/>
          <c:showSerName val="0"/>
          <c:showPercent val="0"/>
          <c:showBubbleSize val="0"/>
        </c:dLbls>
        <c:smooth val="0"/>
        <c:axId val="184675792"/>
        <c:axId val="184676184"/>
      </c:lineChart>
      <c:dateAx>
        <c:axId val="184675792"/>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4676184"/>
        <c:crosses val="autoZero"/>
        <c:auto val="1"/>
        <c:lblOffset val="100"/>
        <c:baseTimeUnit val="years"/>
      </c:dateAx>
      <c:valAx>
        <c:axId val="184676184"/>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4675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OBEGAL in 2016 prices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'Real (total)'!$A$7</c:f>
              <c:strCache>
                <c:ptCount val="1"/>
                <c:pt idx="0">
                  <c:v>OBEGAL</c:v>
                </c:pt>
              </c:strCache>
            </c:strRef>
          </c:tx>
          <c:spPr>
            <a:ln w="28575" cap="rnd">
              <a:solidFill>
                <a:schemeClr val="accent1"/>
              </a:solidFill>
              <a:round/>
            </a:ln>
            <a:effectLst/>
          </c:spPr>
          <c:marker>
            <c:symbol val="none"/>
          </c:marker>
          <c:cat>
            <c:numRef>
              <c:f>'Real (total)'!$B$2:$R$2</c:f>
              <c:numCache>
                <c:formatCode>yyyy</c:formatCode>
                <c:ptCount val="17"/>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numCache>
            </c:numRef>
          </c:cat>
          <c:val>
            <c:numRef>
              <c:f>'Real (total)'!$B$7:$R$7</c:f>
              <c:numCache>
                <c:formatCode>General</c:formatCode>
                <c:ptCount val="17"/>
                <c:pt idx="0">
                  <c:v>184.62720010864942</c:v>
                </c:pt>
                <c:pt idx="1">
                  <c:v>839.39195246497036</c:v>
                </c:pt>
                <c:pt idx="2">
                  <c:v>1947.2126045349796</c:v>
                </c:pt>
                <c:pt idx="3">
                  <c:v>3294.3446034865296</c:v>
                </c:pt>
                <c:pt idx="4">
                  <c:v>5735.3173698423743</c:v>
                </c:pt>
                <c:pt idx="5">
                  <c:v>7151.8370952675468</c:v>
                </c:pt>
                <c:pt idx="6">
                  <c:v>8826.5896196205522</c:v>
                </c:pt>
                <c:pt idx="7">
                  <c:v>8509.2000000000007</c:v>
                </c:pt>
                <c:pt idx="8">
                  <c:v>6894.1176445728861</c:v>
                </c:pt>
                <c:pt idx="9">
                  <c:v>6375.4948146272227</c:v>
                </c:pt>
                <c:pt idx="10">
                  <c:v>-4321.5541140346104</c:v>
                </c:pt>
                <c:pt idx="11">
                  <c:v>-6895.3594162293566</c:v>
                </c:pt>
                <c:pt idx="12">
                  <c:v>-19079.688841276384</c:v>
                </c:pt>
                <c:pt idx="13">
                  <c:v>-9493.1506857286713</c:v>
                </c:pt>
                <c:pt idx="14">
                  <c:v>-4504.0816305870103</c:v>
                </c:pt>
                <c:pt idx="15">
                  <c:v>-2945.2719652430133</c:v>
                </c:pt>
                <c:pt idx="16">
                  <c:v>414.00000000001387</c:v>
                </c:pt>
              </c:numCache>
            </c:numRef>
          </c:val>
          <c:smooth val="0"/>
          <c:extLst xmlns:c16r2="http://schemas.microsoft.com/office/drawing/2015/06/chart">
            <c:ext xmlns:c16="http://schemas.microsoft.com/office/drawing/2014/chart" uri="{C3380CC4-5D6E-409C-BE32-E72D297353CC}">
              <c16:uniqueId val="{00000000-13DC-4B38-9503-D9AA27DE5377}"/>
            </c:ext>
          </c:extLst>
        </c:ser>
        <c:dLbls>
          <c:showLegendKey val="0"/>
          <c:showVal val="0"/>
          <c:showCatName val="0"/>
          <c:showSerName val="0"/>
          <c:showPercent val="0"/>
          <c:showBubbleSize val="0"/>
        </c:dLbls>
        <c:smooth val="0"/>
        <c:axId val="246300784"/>
        <c:axId val="187200488"/>
      </c:lineChart>
      <c:dateAx>
        <c:axId val="246300784"/>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200488"/>
        <c:crosses val="autoZero"/>
        <c:auto val="0"/>
        <c:lblOffset val="100"/>
        <c:baseTimeUnit val="years"/>
        <c:majorUnit val="3"/>
        <c:majorTimeUnit val="years"/>
      </c:dateAx>
      <c:valAx>
        <c:axId val="1872004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300784"/>
        <c:crosses val="autoZero"/>
        <c:crossBetween val="between"/>
        <c:majorUnit val="7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Real annual per capita spending</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994028871391076"/>
          <c:y val="0.25879666083406239"/>
          <c:w val="0.82186395450568683"/>
          <c:h val="0.57142242636337137"/>
        </c:manualLayout>
      </c:layout>
      <c:lineChart>
        <c:grouping val="standard"/>
        <c:varyColors val="0"/>
        <c:ser>
          <c:idx val="0"/>
          <c:order val="0"/>
          <c:tx>
            <c:strRef>
              <c:f>'Real per person (Total)'!$A$6</c:f>
              <c:strCache>
                <c:ptCount val="1"/>
                <c:pt idx="0">
                  <c:v> Taxation revenue </c:v>
                </c:pt>
              </c:strCache>
            </c:strRef>
          </c:tx>
          <c:spPr>
            <a:ln w="28575" cap="rnd">
              <a:solidFill>
                <a:schemeClr val="accent1"/>
              </a:solidFill>
              <a:prstDash val="sysDash"/>
              <a:round/>
            </a:ln>
            <a:effectLst/>
          </c:spPr>
          <c:marker>
            <c:symbol val="none"/>
          </c:marker>
          <c:cat>
            <c:numRef>
              <c:f>'Real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'Real per person (Total)'!$B$6:$Y$6</c:f>
              <c:numCache>
                <c:formatCode>_-* #,##0_-;\-* #,##0_-;_-* "-"??_-;_-@_-</c:formatCode>
                <c:ptCount val="24"/>
                <c:pt idx="0">
                  <c:v>12094.029993297376</c:v>
                </c:pt>
                <c:pt idx="1">
                  <c:v>12476.214866459799</c:v>
                </c:pt>
                <c:pt idx="2">
                  <c:v>12967.6571952876</c:v>
                </c:pt>
                <c:pt idx="3">
                  <c:v>12226.856072853381</c:v>
                </c:pt>
                <c:pt idx="4">
                  <c:v>12977.754003586311</c:v>
                </c:pt>
                <c:pt idx="5">
                  <c:v>13352.956734896919</c:v>
                </c:pt>
                <c:pt idx="6">
                  <c:v>14072.700436339554</c:v>
                </c:pt>
                <c:pt idx="7">
                  <c:v>15000.896136575995</c:v>
                </c:pt>
                <c:pt idx="8">
                  <c:v>14744.806877487077</c:v>
                </c:pt>
                <c:pt idx="9">
                  <c:v>14967.359625150961</c:v>
                </c:pt>
                <c:pt idx="10">
                  <c:v>13969.599212157524</c:v>
                </c:pt>
                <c:pt idx="11">
                  <c:v>12635.749512324253</c:v>
                </c:pt>
                <c:pt idx="12">
                  <c:v>12095.925905628284</c:v>
                </c:pt>
                <c:pt idx="13">
                  <c:v>12741.135676113059</c:v>
                </c:pt>
                <c:pt idx="14">
                  <c:v>13354.136137424775</c:v>
                </c:pt>
                <c:pt idx="15">
                  <c:v>13556.081199088307</c:v>
                </c:pt>
                <c:pt idx="16">
                  <c:v>14373.062068215198</c:v>
                </c:pt>
                <c:pt idx="17">
                  <c:v>14845.088429575964</c:v>
                </c:pt>
                <c:pt idx="18">
                  <c:v>15639.249880055904</c:v>
                </c:pt>
                <c:pt idx="19">
                  <c:v>15882.580273477743</c:v>
                </c:pt>
                <c:pt idx="20">
                  <c:v>16546.822941432452</c:v>
                </c:pt>
                <c:pt idx="21">
                  <c:v>17308.269869146759</c:v>
                </c:pt>
                <c:pt idx="22">
                  <c:v>18106.534715967235</c:v>
                </c:pt>
                <c:pt idx="23">
                  <c:v>18856.962415184502</c:v>
                </c:pt>
              </c:numCache>
            </c:numRef>
          </c:val>
          <c:smooth val="0"/>
          <c:extLst xmlns:c16r2="http://schemas.microsoft.com/office/drawing/2015/06/chart">
            <c:ext xmlns:c16="http://schemas.microsoft.com/office/drawing/2014/chart" uri="{C3380CC4-5D6E-409C-BE32-E72D297353CC}">
              <c16:uniqueId val="{00000000-C65C-4144-A27C-560664592533}"/>
            </c:ext>
          </c:extLst>
        </c:ser>
        <c:ser>
          <c:idx val="1"/>
          <c:order val="1"/>
          <c:tx>
            <c:strRef>
              <c:f>'Real per person (Total)'!$A$7</c:f>
              <c:strCache>
                <c:ptCount val="1"/>
                <c:pt idx="0">
                  <c:v> Other revenue </c:v>
                </c:pt>
              </c:strCache>
            </c:strRef>
          </c:tx>
          <c:spPr>
            <a:ln w="28575" cap="rnd">
              <a:solidFill>
                <a:schemeClr val="accent2"/>
              </a:solidFill>
              <a:round/>
            </a:ln>
            <a:effectLst/>
          </c:spPr>
          <c:marker>
            <c:symbol val="none"/>
          </c:marker>
          <c:cat>
            <c:numRef>
              <c:f>'Real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'Real per person (Total)'!$B$7:$Y$7</c:f>
              <c:numCache>
                <c:formatCode>_-* #,##0_-;\-* #,##0_-;_-* "-"??_-;_-@_-</c:formatCode>
                <c:ptCount val="24"/>
                <c:pt idx="0">
                  <c:v>2937.2182824959909</c:v>
                </c:pt>
                <c:pt idx="1">
                  <c:v>2777.3283460313355</c:v>
                </c:pt>
                <c:pt idx="2">
                  <c:v>2952.6514146250433</c:v>
                </c:pt>
                <c:pt idx="3">
                  <c:v>4636.401116074122</c:v>
                </c:pt>
                <c:pt idx="4">
                  <c:v>5488.4351099194346</c:v>
                </c:pt>
                <c:pt idx="5">
                  <c:v>5255.1861321821907</c:v>
                </c:pt>
                <c:pt idx="6">
                  <c:v>5586.0386705416977</c:v>
                </c:pt>
                <c:pt idx="7">
                  <c:v>5413.5252101141568</c:v>
                </c:pt>
                <c:pt idx="8">
                  <c:v>5963.6000614657878</c:v>
                </c:pt>
                <c:pt idx="9">
                  <c:v>6601.3883197354771</c:v>
                </c:pt>
                <c:pt idx="10">
                  <c:v>6468.1476082517147</c:v>
                </c:pt>
                <c:pt idx="11">
                  <c:v>6003.0288316142723</c:v>
                </c:pt>
                <c:pt idx="12">
                  <c:v>7117.3101812103214</c:v>
                </c:pt>
                <c:pt idx="13">
                  <c:v>6684.871715477886</c:v>
                </c:pt>
                <c:pt idx="14">
                  <c:v>6472.6234895967573</c:v>
                </c:pt>
                <c:pt idx="15">
                  <c:v>6306.0861636718873</c:v>
                </c:pt>
                <c:pt idx="16">
                  <c:v>6301.0390034270795</c:v>
                </c:pt>
                <c:pt idx="17">
                  <c:v>6070.9567440869378</c:v>
                </c:pt>
                <c:pt idx="18">
                  <c:v>6102.3383883685483</c:v>
                </c:pt>
                <c:pt idx="19">
                  <c:v>6297.4303671211646</c:v>
                </c:pt>
                <c:pt idx="20">
                  <c:v>6419.4937726836997</c:v>
                </c:pt>
                <c:pt idx="21">
                  <c:v>6614.2643756576008</c:v>
                </c:pt>
                <c:pt idx="22">
                  <c:v>6707.3322926171977</c:v>
                </c:pt>
                <c:pt idx="23">
                  <c:v>6821.9893414801836</c:v>
                </c:pt>
              </c:numCache>
            </c:numRef>
          </c:val>
          <c:smooth val="0"/>
          <c:extLst xmlns:c16r2="http://schemas.microsoft.com/office/drawing/2015/06/chart">
            <c:ext xmlns:c16="http://schemas.microsoft.com/office/drawing/2014/chart" uri="{C3380CC4-5D6E-409C-BE32-E72D297353CC}">
              <c16:uniqueId val="{00000001-C65C-4144-A27C-560664592533}"/>
            </c:ext>
          </c:extLst>
        </c:ser>
        <c:ser>
          <c:idx val="3"/>
          <c:order val="2"/>
          <c:tx>
            <c:strRef>
              <c:f>'Real per person (Total)'!$A$9</c:f>
              <c:strCache>
                <c:ptCount val="1"/>
                <c:pt idx="0">
                  <c:v> Total expenses (excluding losses) </c:v>
                </c:pt>
              </c:strCache>
            </c:strRef>
          </c:tx>
          <c:spPr>
            <a:ln w="28575" cap="rnd">
              <a:solidFill>
                <a:srgbClr val="FF0000"/>
              </a:solidFill>
              <a:prstDash val="sysDash"/>
              <a:round/>
            </a:ln>
            <a:effectLst/>
          </c:spPr>
          <c:marker>
            <c:symbol val="none"/>
          </c:marker>
          <c:cat>
            <c:numRef>
              <c:f>'Real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'Real per person (Total)'!$B$9:$Y$9</c:f>
              <c:numCache>
                <c:formatCode>_-* #,##0_-;\-* #,##0_-;_-* "-"??_-;_-@_-</c:formatCode>
                <c:ptCount val="24"/>
                <c:pt idx="0">
                  <c:v>14983.106845293863</c:v>
                </c:pt>
                <c:pt idx="1">
                  <c:v>15035.954506146687</c:v>
                </c:pt>
                <c:pt idx="2">
                  <c:v>15418.514355426114</c:v>
                </c:pt>
                <c:pt idx="3">
                  <c:v>16028.92906344022</c:v>
                </c:pt>
                <c:pt idx="4">
                  <c:v>17042.043958101898</c:v>
                </c:pt>
                <c:pt idx="5">
                  <c:v>16858.457950805707</c:v>
                </c:pt>
                <c:pt idx="6">
                  <c:v>17523.566601590715</c:v>
                </c:pt>
                <c:pt idx="7">
                  <c:v>18380.979919371606</c:v>
                </c:pt>
                <c:pt idx="8">
                  <c:v>19076.222717749301</c:v>
                </c:pt>
                <c:pt idx="9">
                  <c:v>20072.065084477439</c:v>
                </c:pt>
                <c:pt idx="10">
                  <c:v>21442.154424674252</c:v>
                </c:pt>
                <c:pt idx="11">
                  <c:v>20223.674329207312</c:v>
                </c:pt>
                <c:pt idx="12">
                  <c:v>23565.384673912966</c:v>
                </c:pt>
                <c:pt idx="13">
                  <c:v>21579.635739661644</c:v>
                </c:pt>
                <c:pt idx="14">
                  <c:v>20826.470647595939</c:v>
                </c:pt>
                <c:pt idx="15">
                  <c:v>20450.690870196097</c:v>
                </c:pt>
                <c:pt idx="16">
                  <c:v>20512.865147146822</c:v>
                </c:pt>
                <c:pt idx="17">
                  <c:v>20430.42829746431</c:v>
                </c:pt>
                <c:pt idx="18">
                  <c:v>20820.626212478361</c:v>
                </c:pt>
                <c:pt idx="19">
                  <c:v>21573.352988029837</c:v>
                </c:pt>
                <c:pt idx="20">
                  <c:v>22309.92881972382</c:v>
                </c:pt>
                <c:pt idx="21">
                  <c:v>22837.361295365536</c:v>
                </c:pt>
                <c:pt idx="22">
                  <c:v>23440.090264403872</c:v>
                </c:pt>
                <c:pt idx="23">
                  <c:v>23870.83777956837</c:v>
                </c:pt>
              </c:numCache>
            </c:numRef>
          </c:val>
          <c:smooth val="0"/>
          <c:extLst xmlns:c16r2="http://schemas.microsoft.com/office/drawing/2015/06/chart">
            <c:ext xmlns:c16="http://schemas.microsoft.com/office/drawing/2014/chart" uri="{C3380CC4-5D6E-409C-BE32-E72D297353CC}">
              <c16:uniqueId val="{00000002-C65C-4144-A27C-560664592533}"/>
            </c:ext>
          </c:extLst>
        </c:ser>
        <c:dLbls>
          <c:showLegendKey val="0"/>
          <c:showVal val="0"/>
          <c:showCatName val="0"/>
          <c:showSerName val="0"/>
          <c:showPercent val="0"/>
          <c:showBubbleSize val="0"/>
        </c:dLbls>
        <c:smooth val="0"/>
        <c:axId val="247383872"/>
        <c:axId val="247384264"/>
      </c:lineChart>
      <c:dateAx>
        <c:axId val="247383872"/>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7384264"/>
        <c:crosses val="autoZero"/>
        <c:auto val="0"/>
        <c:lblOffset val="100"/>
        <c:baseTimeUnit val="years"/>
        <c:majorUnit val="4"/>
        <c:majorTimeUnit val="years"/>
      </c:dateAx>
      <c:valAx>
        <c:axId val="247384264"/>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7383872"/>
        <c:crosses val="autoZero"/>
        <c:crossBetween val="between"/>
      </c:valAx>
      <c:spPr>
        <a:noFill/>
        <a:ln>
          <a:noFill/>
        </a:ln>
        <a:effectLst/>
      </c:spPr>
    </c:plotArea>
    <c:legend>
      <c:legendPos val="b"/>
      <c:layout>
        <c:manualLayout>
          <c:xMode val="edge"/>
          <c:yMode val="edge"/>
          <c:x val="0.11669269466316713"/>
          <c:y val="0.12724919801691456"/>
          <c:w val="0.78883683289588802"/>
          <c:h val="0.31719524642752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Weekly tax</a:t>
            </a:r>
            <a:r>
              <a:rPr lang="en-US" baseline="0"/>
              <a:t> bill for average person</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CCB-4858-88D7-CE3475861E3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CCB-4858-88D7-CE3475861E3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CCB-4858-88D7-CE3475861E36}"/>
              </c:ext>
            </c:extLst>
          </c:dPt>
          <c:dLbls>
            <c:dLbl>
              <c:idx val="0"/>
              <c:layout>
                <c:manualLayout>
                  <c:x val="1.7161089238845146E-2"/>
                  <c:y val="-5.4132764654418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1CCB-4858-88D7-CE3475861E36}"/>
                </c:ext>
                <c:ext xmlns:c15="http://schemas.microsoft.com/office/drawing/2012/chart" uri="{CE6537A1-D6FC-4f65-9D91-7224C49458BB}">
                  <c15:layout/>
                </c:ext>
              </c:extLst>
            </c:dLbl>
            <c:dLbl>
              <c:idx val="2"/>
              <c:layout>
                <c:manualLayout>
                  <c:x val="-6.9230752405949253E-2"/>
                  <c:y val="-3.161344415281423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1CCB-4858-88D7-CE3475861E36}"/>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'Real per person (Total)'!$A$37:$A$39</c:f>
              <c:strCache>
                <c:ptCount val="3"/>
                <c:pt idx="0">
                  <c:v> Taxation revenue </c:v>
                </c:pt>
                <c:pt idx="1">
                  <c:v> Other revenue </c:v>
                </c:pt>
                <c:pt idx="2">
                  <c:v> Total expenses (excluding losses) </c:v>
                </c:pt>
              </c:strCache>
            </c:strRef>
          </c:cat>
          <c:val>
            <c:numRef>
              <c:f>'Real per person (Total)'!$R$37:$R$39</c:f>
              <c:numCache>
                <c:formatCode>"$"#,##0.00</c:formatCode>
                <c:ptCount val="3"/>
                <c:pt idx="0">
                  <c:v>275.64753913217714</c:v>
                </c:pt>
                <c:pt idx="1">
                  <c:v>120.84174457935941</c:v>
                </c:pt>
                <c:pt idx="2">
                  <c:v>393.39709044082366</c:v>
                </c:pt>
              </c:numCache>
            </c:numRef>
          </c:val>
          <c:extLst xmlns:c16r2="http://schemas.microsoft.com/office/drawing/2015/06/chart">
            <c:ext xmlns:c16="http://schemas.microsoft.com/office/drawing/2014/chart" uri="{C3380CC4-5D6E-409C-BE32-E72D297353CC}">
              <c16:uniqueId val="{00000006-1CCB-4858-88D7-CE3475861E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Real </a:t>
            </a:r>
            <a:r>
              <a:rPr lang="en-US" baseline="0"/>
              <a:t>per capita</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63451443569554"/>
          <c:y val="0.25649825021872263"/>
          <c:w val="0.8108099300087489"/>
          <c:h val="0.61032225138524354"/>
        </c:manualLayout>
      </c:layout>
      <c:lineChart>
        <c:grouping val="standard"/>
        <c:varyColors val="0"/>
        <c:ser>
          <c:idx val="0"/>
          <c:order val="0"/>
          <c:tx>
            <c:strRef>
              <c:f>'Real per person (Total)'!$A$8</c:f>
              <c:strCache>
                <c:ptCount val="1"/>
                <c:pt idx="0">
                  <c:v> Total revenue (excluding gains) </c:v>
                </c:pt>
              </c:strCache>
            </c:strRef>
          </c:tx>
          <c:spPr>
            <a:ln w="28575" cap="rnd">
              <a:solidFill>
                <a:schemeClr val="accent1"/>
              </a:solidFill>
              <a:round/>
            </a:ln>
            <a:effectLst/>
          </c:spPr>
          <c:marker>
            <c:symbol val="none"/>
          </c:marker>
          <c:cat>
            <c:numRef>
              <c:f>'Real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'Real per person (Total)'!$B$8:$Y$8</c:f>
              <c:numCache>
                <c:formatCode>_-* #,##0_-;\-* #,##0_-;_-* "-"??_-;_-@_-</c:formatCode>
                <c:ptCount val="24"/>
                <c:pt idx="0">
                  <c:v>15031.248275793369</c:v>
                </c:pt>
                <c:pt idx="1">
                  <c:v>15253.543212491135</c:v>
                </c:pt>
                <c:pt idx="2">
                  <c:v>15920.308609912643</c:v>
                </c:pt>
                <c:pt idx="3">
                  <c:v>16863.257188927502</c:v>
                </c:pt>
                <c:pt idx="4">
                  <c:v>18466.189113505745</c:v>
                </c:pt>
                <c:pt idx="5">
                  <c:v>18608.14286707911</c:v>
                </c:pt>
                <c:pt idx="6">
                  <c:v>19658.73910688125</c:v>
                </c:pt>
                <c:pt idx="7">
                  <c:v>20414.421346690149</c:v>
                </c:pt>
                <c:pt idx="8">
                  <c:v>20708.406938952867</c:v>
                </c:pt>
                <c:pt idx="9">
                  <c:v>21568.747944886432</c:v>
                </c:pt>
                <c:pt idx="10">
                  <c:v>20437.746820409237</c:v>
                </c:pt>
                <c:pt idx="11">
                  <c:v>18638.778343938528</c:v>
                </c:pt>
                <c:pt idx="12">
                  <c:v>19213.236086838606</c:v>
                </c:pt>
                <c:pt idx="13">
                  <c:v>19426.007391590942</c:v>
                </c:pt>
                <c:pt idx="14">
                  <c:v>19826.759627021533</c:v>
                </c:pt>
                <c:pt idx="15">
                  <c:v>19862.167362760192</c:v>
                </c:pt>
                <c:pt idx="16">
                  <c:v>20674.101071642279</c:v>
                </c:pt>
                <c:pt idx="17">
                  <c:v>20916.045173662904</c:v>
                </c:pt>
                <c:pt idx="18">
                  <c:v>21741.588268424453</c:v>
                </c:pt>
                <c:pt idx="19">
                  <c:v>22180.010640598906</c:v>
                </c:pt>
                <c:pt idx="20">
                  <c:v>22966.316714116154</c:v>
                </c:pt>
                <c:pt idx="21">
                  <c:v>23922.534244804359</c:v>
                </c:pt>
                <c:pt idx="22">
                  <c:v>24813.867008584435</c:v>
                </c:pt>
                <c:pt idx="23">
                  <c:v>25678.951756664686</c:v>
                </c:pt>
              </c:numCache>
            </c:numRef>
          </c:val>
          <c:smooth val="0"/>
          <c:extLst xmlns:c16r2="http://schemas.microsoft.com/office/drawing/2015/06/chart">
            <c:ext xmlns:c16="http://schemas.microsoft.com/office/drawing/2014/chart" uri="{C3380CC4-5D6E-409C-BE32-E72D297353CC}">
              <c16:uniqueId val="{00000000-0802-4743-BF67-CA9851843ED8}"/>
            </c:ext>
          </c:extLst>
        </c:ser>
        <c:ser>
          <c:idx val="1"/>
          <c:order val="1"/>
          <c:tx>
            <c:strRef>
              <c:f>'Real per person (Total)'!$A$9</c:f>
              <c:strCache>
                <c:ptCount val="1"/>
                <c:pt idx="0">
                  <c:v> Total expenses (excluding losses) </c:v>
                </c:pt>
              </c:strCache>
            </c:strRef>
          </c:tx>
          <c:spPr>
            <a:ln w="28575" cap="rnd">
              <a:solidFill>
                <a:schemeClr val="accent2"/>
              </a:solidFill>
              <a:round/>
            </a:ln>
            <a:effectLst/>
          </c:spPr>
          <c:marker>
            <c:symbol val="none"/>
          </c:marker>
          <c:cat>
            <c:numRef>
              <c:f>'Real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'Real per person (Total)'!$B$9:$Y$9</c:f>
              <c:numCache>
                <c:formatCode>_-* #,##0_-;\-* #,##0_-;_-* "-"??_-;_-@_-</c:formatCode>
                <c:ptCount val="24"/>
                <c:pt idx="0">
                  <c:v>14983.106845293863</c:v>
                </c:pt>
                <c:pt idx="1">
                  <c:v>15035.954506146687</c:v>
                </c:pt>
                <c:pt idx="2">
                  <c:v>15418.514355426114</c:v>
                </c:pt>
                <c:pt idx="3">
                  <c:v>16028.92906344022</c:v>
                </c:pt>
                <c:pt idx="4">
                  <c:v>17042.043958101898</c:v>
                </c:pt>
                <c:pt idx="5">
                  <c:v>16858.457950805707</c:v>
                </c:pt>
                <c:pt idx="6">
                  <c:v>17523.566601590715</c:v>
                </c:pt>
                <c:pt idx="7">
                  <c:v>18380.979919371606</c:v>
                </c:pt>
                <c:pt idx="8">
                  <c:v>19076.222717749301</c:v>
                </c:pt>
                <c:pt idx="9">
                  <c:v>20072.065084477439</c:v>
                </c:pt>
                <c:pt idx="10">
                  <c:v>21442.154424674252</c:v>
                </c:pt>
                <c:pt idx="11">
                  <c:v>20223.674329207312</c:v>
                </c:pt>
                <c:pt idx="12">
                  <c:v>23565.384673912966</c:v>
                </c:pt>
                <c:pt idx="13">
                  <c:v>21579.635739661644</c:v>
                </c:pt>
                <c:pt idx="14">
                  <c:v>20826.470647595939</c:v>
                </c:pt>
                <c:pt idx="15">
                  <c:v>20450.690870196097</c:v>
                </c:pt>
                <c:pt idx="16">
                  <c:v>20512.865147146822</c:v>
                </c:pt>
                <c:pt idx="17">
                  <c:v>20430.42829746431</c:v>
                </c:pt>
                <c:pt idx="18">
                  <c:v>20820.626212478361</c:v>
                </c:pt>
                <c:pt idx="19">
                  <c:v>21573.352988029837</c:v>
                </c:pt>
                <c:pt idx="20">
                  <c:v>22309.92881972382</c:v>
                </c:pt>
                <c:pt idx="21">
                  <c:v>22837.361295365536</c:v>
                </c:pt>
                <c:pt idx="22">
                  <c:v>23440.090264403872</c:v>
                </c:pt>
                <c:pt idx="23">
                  <c:v>23870.83777956837</c:v>
                </c:pt>
              </c:numCache>
            </c:numRef>
          </c:val>
          <c:smooth val="0"/>
          <c:extLst xmlns:c16r2="http://schemas.microsoft.com/office/drawing/2015/06/chart">
            <c:ext xmlns:c16="http://schemas.microsoft.com/office/drawing/2014/chart" uri="{C3380CC4-5D6E-409C-BE32-E72D297353CC}">
              <c16:uniqueId val="{00000001-0802-4743-BF67-CA9851843ED8}"/>
            </c:ext>
          </c:extLst>
        </c:ser>
        <c:dLbls>
          <c:showLegendKey val="0"/>
          <c:showVal val="0"/>
          <c:showCatName val="0"/>
          <c:showSerName val="0"/>
          <c:showPercent val="0"/>
          <c:showBubbleSize val="0"/>
        </c:dLbls>
        <c:smooth val="0"/>
        <c:axId val="247385440"/>
        <c:axId val="247385832"/>
      </c:lineChart>
      <c:dateAx>
        <c:axId val="247385440"/>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7385832"/>
        <c:crosses val="autoZero"/>
        <c:auto val="1"/>
        <c:lblOffset val="100"/>
        <c:baseTimeUnit val="years"/>
        <c:majorUnit val="3"/>
        <c:majorTimeUnit val="years"/>
      </c:dateAx>
      <c:valAx>
        <c:axId val="247385832"/>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73854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Percentage</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059295713035871"/>
          <c:y val="0.19930555555555557"/>
          <c:w val="0.79607370953630796"/>
          <c:h val="0.41841899970836977"/>
        </c:manualLayout>
      </c:layout>
      <c:barChart>
        <c:barDir val="col"/>
        <c:grouping val="stacked"/>
        <c:varyColors val="0"/>
        <c:ser>
          <c:idx val="2"/>
          <c:order val="0"/>
          <c:tx>
            <c:strRef>
              <c:f>'Nominal per person (Core)'!$A$54</c:f>
              <c:strCache>
                <c:ptCount val="1"/>
                <c:pt idx="0">
                  <c:v> Core govt services </c:v>
                </c:pt>
              </c:strCache>
            </c:strRef>
          </c:tx>
          <c:spPr>
            <a:solidFill>
              <a:schemeClr val="bg1">
                <a:lumMod val="85000"/>
              </a:schemeClr>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(Core)'!$B$54:$Y$54</c:f>
              <c:numCache>
                <c:formatCode>0.0%</c:formatCode>
                <c:ptCount val="24"/>
                <c:pt idx="0">
                  <c:v>4.6581182983868395E-2</c:v>
                </c:pt>
                <c:pt idx="1">
                  <c:v>5.8132865481291547E-2</c:v>
                </c:pt>
                <c:pt idx="2">
                  <c:v>4.4078947368421051E-2</c:v>
                </c:pt>
                <c:pt idx="3">
                  <c:v>4.9302208360898457E-2</c:v>
                </c:pt>
                <c:pt idx="4">
                  <c:v>5.0587199951446005E-2</c:v>
                </c:pt>
                <c:pt idx="5">
                  <c:v>4.5657829353132041E-2</c:v>
                </c:pt>
                <c:pt idx="6">
                  <c:v>4.759246336357293E-2</c:v>
                </c:pt>
                <c:pt idx="7">
                  <c:v>4.7275441652152285E-2</c:v>
                </c:pt>
                <c:pt idx="8">
                  <c:v>4.8993160576582463E-2</c:v>
                </c:pt>
                <c:pt idx="9">
                  <c:v>4.0558335528048453E-2</c:v>
                </c:pt>
                <c:pt idx="10">
                  <c:v>5.3387472742311447E-2</c:v>
                </c:pt>
                <c:pt idx="11">
                  <c:v>4.9925982522324629E-2</c:v>
                </c:pt>
                <c:pt idx="12">
                  <c:v>5.7177859449827367E-2</c:v>
                </c:pt>
                <c:pt idx="13">
                  <c:v>5.0831305758313051E-2</c:v>
                </c:pt>
                <c:pt idx="14">
                  <c:v>8.9180230727922513E-2</c:v>
                </c:pt>
                <c:pt idx="15">
                  <c:v>5.9143463691071464E-2</c:v>
                </c:pt>
                <c:pt idx="16">
                  <c:v>8.2700540608106013E-2</c:v>
                </c:pt>
                <c:pt idx="17">
                  <c:v>4.6459312952056624E-2</c:v>
                </c:pt>
                <c:pt idx="18">
                  <c:v>7.8963804116394601E-2</c:v>
                </c:pt>
                <c:pt idx="19">
                  <c:v>7.8580114656320574E-2</c:v>
                </c:pt>
                <c:pt idx="20">
                  <c:v>6.1075868346940516E-2</c:v>
                </c:pt>
                <c:pt idx="21">
                  <c:v>6.2994109169266926E-2</c:v>
                </c:pt>
                <c:pt idx="22">
                  <c:v>5.7128643091082461E-2</c:v>
                </c:pt>
                <c:pt idx="23">
                  <c:v>5.5485668682113923E-2</c:v>
                </c:pt>
              </c:numCache>
            </c:numRef>
          </c:val>
          <c:extLst xmlns:c16r2="http://schemas.microsoft.com/office/drawing/2015/06/chart">
            <c:ext xmlns:c16="http://schemas.microsoft.com/office/drawing/2014/chart" uri="{C3380CC4-5D6E-409C-BE32-E72D297353CC}">
              <c16:uniqueId val="{00000002-AD02-47CD-9A7E-0F9D8D22DE9D}"/>
            </c:ext>
          </c:extLst>
        </c:ser>
        <c:ser>
          <c:idx val="3"/>
          <c:order val="1"/>
          <c:tx>
            <c:strRef>
              <c:f>'Nominal per person (Core)'!$A$55</c:f>
              <c:strCache>
                <c:ptCount val="1"/>
                <c:pt idx="0">
                  <c:v> Defence </c:v>
                </c:pt>
              </c:strCache>
            </c:strRef>
          </c:tx>
          <c:spPr>
            <a:solidFill>
              <a:srgbClr val="00B0F0"/>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(Core)'!$B$55:$Y$55</c:f>
              <c:numCache>
                <c:formatCode>0.0%</c:formatCode>
                <c:ptCount val="24"/>
                <c:pt idx="0">
                  <c:v>3.7322218333386357E-2</c:v>
                </c:pt>
                <c:pt idx="1">
                  <c:v>3.5392557103815919E-2</c:v>
                </c:pt>
                <c:pt idx="2">
                  <c:v>3.3322368421052628E-2</c:v>
                </c:pt>
                <c:pt idx="3">
                  <c:v>3.0557918281195848E-2</c:v>
                </c:pt>
                <c:pt idx="4">
                  <c:v>2.8707553181804391E-2</c:v>
                </c:pt>
                <c:pt idx="5">
                  <c:v>3.1130338195317298E-2</c:v>
                </c:pt>
                <c:pt idx="6">
                  <c:v>2.8750872295882763E-2</c:v>
                </c:pt>
                <c:pt idx="7">
                  <c:v>3.4475132011832679E-2</c:v>
                </c:pt>
                <c:pt idx="8">
                  <c:v>3.3842884002288888E-2</c:v>
                </c:pt>
                <c:pt idx="9">
                  <c:v>3.060310771661838E-2</c:v>
                </c:pt>
                <c:pt idx="10">
                  <c:v>3.0052384891094564E-2</c:v>
                </c:pt>
                <c:pt idx="11">
                  <c:v>3.1302230074972542E-2</c:v>
                </c:pt>
                <c:pt idx="12">
                  <c:v>2.8399599064483794E-2</c:v>
                </c:pt>
                <c:pt idx="13">
                  <c:v>2.8041362530413623E-2</c:v>
                </c:pt>
                <c:pt idx="14">
                  <c:v>2.809103197970483E-2</c:v>
                </c:pt>
                <c:pt idx="15">
                  <c:v>2.7404951137779181E-2</c:v>
                </c:pt>
                <c:pt idx="16">
                  <c:v>2.745226711665261E-2</c:v>
                </c:pt>
                <c:pt idx="17">
                  <c:v>2.8337993845000239E-2</c:v>
                </c:pt>
                <c:pt idx="18">
                  <c:v>2.5677785663591197E-2</c:v>
                </c:pt>
                <c:pt idx="19">
                  <c:v>2.5131738954195376E-2</c:v>
                </c:pt>
                <c:pt idx="20">
                  <c:v>2.5659260945011808E-2</c:v>
                </c:pt>
                <c:pt idx="21">
                  <c:v>2.5340366882617149E-2</c:v>
                </c:pt>
                <c:pt idx="22">
                  <c:v>2.7099484543205786E-2</c:v>
                </c:pt>
                <c:pt idx="23">
                  <c:v>2.7404672050210334E-2</c:v>
                </c:pt>
              </c:numCache>
            </c:numRef>
          </c:val>
          <c:extLst xmlns:c16r2="http://schemas.microsoft.com/office/drawing/2015/06/chart">
            <c:ext xmlns:c16="http://schemas.microsoft.com/office/drawing/2014/chart" uri="{C3380CC4-5D6E-409C-BE32-E72D297353CC}">
              <c16:uniqueId val="{00000003-AD02-47CD-9A7E-0F9D8D22DE9D}"/>
            </c:ext>
          </c:extLst>
        </c:ser>
        <c:ser>
          <c:idx val="4"/>
          <c:order val="2"/>
          <c:tx>
            <c:strRef>
              <c:f>'Nominal per person (Core)'!$A$56</c:f>
              <c:strCache>
                <c:ptCount val="1"/>
                <c:pt idx="0">
                  <c:v> Education </c:v>
                </c:pt>
              </c:strCache>
            </c:strRef>
          </c:tx>
          <c:spPr>
            <a:solidFill>
              <a:schemeClr val="tx1">
                <a:lumMod val="95000"/>
                <a:lumOff val="5000"/>
              </a:schemeClr>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(Core)'!$B$56:$Y$56</c:f>
              <c:numCache>
                <c:formatCode>0.0%</c:formatCode>
                <c:ptCount val="24"/>
                <c:pt idx="0">
                  <c:v>0.14442075789875591</c:v>
                </c:pt>
                <c:pt idx="1">
                  <c:v>0.15611187961807083</c:v>
                </c:pt>
                <c:pt idx="2">
                  <c:v>0.15799342105263159</c:v>
                </c:pt>
                <c:pt idx="3">
                  <c:v>0.15590838925117345</c:v>
                </c:pt>
                <c:pt idx="4">
                  <c:v>0.16189724759505966</c:v>
                </c:pt>
                <c:pt idx="5">
                  <c:v>0.16702230276811553</c:v>
                </c:pt>
                <c:pt idx="6">
                  <c:v>0.16466154919748779</c:v>
                </c:pt>
                <c:pt idx="7">
                  <c:v>0.17444914434215258</c:v>
                </c:pt>
                <c:pt idx="8">
                  <c:v>0.16719801629472192</c:v>
                </c:pt>
                <c:pt idx="9">
                  <c:v>0.17047669212536212</c:v>
                </c:pt>
                <c:pt idx="10">
                  <c:v>0.17585282101411134</c:v>
                </c:pt>
                <c:pt idx="11">
                  <c:v>0.18110405424764814</c:v>
                </c:pt>
                <c:pt idx="12">
                  <c:v>0.17663436908341684</c:v>
                </c:pt>
                <c:pt idx="13">
                  <c:v>0.20101378751013788</c:v>
                </c:pt>
                <c:pt idx="14">
                  <c:v>0.17163861266966648</c:v>
                </c:pt>
                <c:pt idx="15">
                  <c:v>0.16757022299419266</c:v>
                </c:pt>
                <c:pt idx="16">
                  <c:v>0.17897878191306524</c:v>
                </c:pt>
                <c:pt idx="17">
                  <c:v>0.18315029759580087</c:v>
                </c:pt>
                <c:pt idx="18">
                  <c:v>0.16536550745209366</c:v>
                </c:pt>
                <c:pt idx="19">
                  <c:v>0.16871272221900513</c:v>
                </c:pt>
                <c:pt idx="20">
                  <c:v>0.17785110801354079</c:v>
                </c:pt>
                <c:pt idx="21">
                  <c:v>0.17210740621545606</c:v>
                </c:pt>
                <c:pt idx="22">
                  <c:v>0.17797769578375688</c:v>
                </c:pt>
                <c:pt idx="23">
                  <c:v>0.1779815769183947</c:v>
                </c:pt>
              </c:numCache>
            </c:numRef>
          </c:val>
          <c:extLst xmlns:c16r2="http://schemas.microsoft.com/office/drawing/2015/06/chart">
            <c:ext xmlns:c16="http://schemas.microsoft.com/office/drawing/2014/chart" uri="{C3380CC4-5D6E-409C-BE32-E72D297353CC}">
              <c16:uniqueId val="{00000004-AD02-47CD-9A7E-0F9D8D22DE9D}"/>
            </c:ext>
          </c:extLst>
        </c:ser>
        <c:ser>
          <c:idx val="5"/>
          <c:order val="3"/>
          <c:tx>
            <c:strRef>
              <c:f>'Nominal per person (Core)'!$A$57</c:f>
              <c:strCache>
                <c:ptCount val="1"/>
                <c:pt idx="0">
                  <c:v> Finance costs </c:v>
                </c:pt>
              </c:strCache>
            </c:strRef>
          </c:tx>
          <c:spPr>
            <a:solidFill>
              <a:srgbClr val="FF0000"/>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(Core)'!$B$57:$Y$57</c:f>
              <c:numCache>
                <c:formatCode>0.0%</c:formatCode>
                <c:ptCount val="24"/>
                <c:pt idx="0">
                  <c:v>0.12603009958955105</c:v>
                </c:pt>
                <c:pt idx="1">
                  <c:v>0.12780458180100543</c:v>
                </c:pt>
                <c:pt idx="2">
                  <c:v>0.12358552631578947</c:v>
                </c:pt>
                <c:pt idx="3">
                  <c:v>0.1166556406136786</c:v>
                </c:pt>
                <c:pt idx="4">
                  <c:v>9.322368221406245E-2</c:v>
                </c:pt>
                <c:pt idx="5">
                  <c:v>8.1961942065417556E-2</c:v>
                </c:pt>
                <c:pt idx="6">
                  <c:v>7.0230286113049559E-2</c:v>
                </c:pt>
                <c:pt idx="7">
                  <c:v>6.5605042713776235E-2</c:v>
                </c:pt>
                <c:pt idx="8">
                  <c:v>6.2781002207144596E-2</c:v>
                </c:pt>
                <c:pt idx="9">
                  <c:v>5.5780879641822483E-2</c:v>
                </c:pt>
                <c:pt idx="10">
                  <c:v>5.9152317216833339E-2</c:v>
                </c:pt>
                <c:pt idx="11">
                  <c:v>5.3770116040303705E-2</c:v>
                </c:pt>
                <c:pt idx="12">
                  <c:v>5.0651520213832263E-2</c:v>
                </c:pt>
                <c:pt idx="13">
                  <c:v>4.7769667477696676E-2</c:v>
                </c:pt>
                <c:pt idx="14">
                  <c:v>4.3127233672203398E-2</c:v>
                </c:pt>
                <c:pt idx="15">
                  <c:v>4.3160166324543399E-2</c:v>
                </c:pt>
                <c:pt idx="16">
                  <c:v>3.7951939001906194E-2</c:v>
                </c:pt>
                <c:pt idx="17">
                  <c:v>3.6102041772764909E-2</c:v>
                </c:pt>
                <c:pt idx="18">
                  <c:v>4.3520227111426543E-2</c:v>
                </c:pt>
                <c:pt idx="19">
                  <c:v>5.0828073426370954E-2</c:v>
                </c:pt>
                <c:pt idx="20">
                  <c:v>5.1474980798224906E-2</c:v>
                </c:pt>
                <c:pt idx="21">
                  <c:v>5.0652748821134234E-2</c:v>
                </c:pt>
                <c:pt idx="22">
                  <c:v>5.2278097922971688E-2</c:v>
                </c:pt>
                <c:pt idx="23">
                  <c:v>4.8560104965575085E-2</c:v>
                </c:pt>
              </c:numCache>
            </c:numRef>
          </c:val>
          <c:extLst xmlns:c16r2="http://schemas.microsoft.com/office/drawing/2015/06/chart">
            <c:ext xmlns:c16="http://schemas.microsoft.com/office/drawing/2014/chart" uri="{C3380CC4-5D6E-409C-BE32-E72D297353CC}">
              <c16:uniqueId val="{00000005-AD02-47CD-9A7E-0F9D8D22DE9D}"/>
            </c:ext>
          </c:extLst>
        </c:ser>
        <c:ser>
          <c:idx val="6"/>
          <c:order val="4"/>
          <c:tx>
            <c:strRef>
              <c:f>'Nominal per person (Core)'!$A$58</c:f>
              <c:strCache>
                <c:ptCount val="1"/>
                <c:pt idx="0">
                  <c:v> Health </c:v>
                </c:pt>
              </c:strCache>
            </c:strRef>
          </c:tx>
          <c:spPr>
            <a:solidFill>
              <a:srgbClr val="92D050"/>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(Core)'!$B$58:$Y$58</c:f>
              <c:numCache>
                <c:formatCode>0.0%</c:formatCode>
                <c:ptCount val="24"/>
                <c:pt idx="0">
                  <c:v>0.13261637341308982</c:v>
                </c:pt>
                <c:pt idx="1">
                  <c:v>0.15526839636964812</c:v>
                </c:pt>
                <c:pt idx="2">
                  <c:v>0.16072368421052632</c:v>
                </c:pt>
                <c:pt idx="3">
                  <c:v>0.16469772863308443</c:v>
                </c:pt>
                <c:pt idx="4">
                  <c:v>0.17072800655479017</c:v>
                </c:pt>
                <c:pt idx="5">
                  <c:v>0.17541141738037475</c:v>
                </c:pt>
                <c:pt idx="6">
                  <c:v>0.18347522679692954</c:v>
                </c:pt>
                <c:pt idx="7">
                  <c:v>0.19004174615023084</c:v>
                </c:pt>
                <c:pt idx="8">
                  <c:v>0.18147633450502737</c:v>
                </c:pt>
                <c:pt idx="9">
                  <c:v>0.18519884119041349</c:v>
                </c:pt>
                <c:pt idx="10">
                  <c:v>0.18800912349299445</c:v>
                </c:pt>
                <c:pt idx="11">
                  <c:v>0.19366314884675995</c:v>
                </c:pt>
                <c:pt idx="12">
                  <c:v>0.19630248357278091</c:v>
                </c:pt>
                <c:pt idx="13">
                  <c:v>0.19357258718572584</c:v>
                </c:pt>
                <c:pt idx="14">
                  <c:v>0.19174860655889486</c:v>
                </c:pt>
                <c:pt idx="15">
                  <c:v>0.19820341421478327</c:v>
                </c:pt>
                <c:pt idx="16">
                  <c:v>0.19324396112621481</c:v>
                </c:pt>
                <c:pt idx="17">
                  <c:v>0.20508334244606566</c:v>
                </c:pt>
                <c:pt idx="18">
                  <c:v>0.1952164655784244</c:v>
                </c:pt>
                <c:pt idx="19">
                  <c:v>0.20499160345127107</c:v>
                </c:pt>
                <c:pt idx="20">
                  <c:v>0.20621284100930221</c:v>
                </c:pt>
                <c:pt idx="21">
                  <c:v>0.20845984860145239</c:v>
                </c:pt>
                <c:pt idx="22">
                  <c:v>0.20808976963365258</c:v>
                </c:pt>
                <c:pt idx="23">
                  <c:v>0.21136495827077331</c:v>
                </c:pt>
              </c:numCache>
            </c:numRef>
          </c:val>
          <c:extLst xmlns:c16r2="http://schemas.microsoft.com/office/drawing/2015/06/chart">
            <c:ext xmlns:c16="http://schemas.microsoft.com/office/drawing/2014/chart" uri="{C3380CC4-5D6E-409C-BE32-E72D297353CC}">
              <c16:uniqueId val="{00000006-AD02-47CD-9A7E-0F9D8D22DE9D}"/>
            </c:ext>
          </c:extLst>
        </c:ser>
        <c:ser>
          <c:idx val="7"/>
          <c:order val="5"/>
          <c:tx>
            <c:strRef>
              <c:f>'Nominal per person (Core)'!$A$59</c:f>
              <c:strCache>
                <c:ptCount val="1"/>
                <c:pt idx="0">
                  <c:v> Law and order </c:v>
                </c:pt>
              </c:strCache>
            </c:strRef>
          </c:tx>
          <c:spPr>
            <a:solidFill>
              <a:schemeClr val="accent2">
                <a:lumMod val="60000"/>
                <a:lumOff val="40000"/>
              </a:schemeClr>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(Core)'!$B$59:$Y$59</c:f>
              <c:numCache>
                <c:formatCode>0.0%</c:formatCode>
                <c:ptCount val="24"/>
                <c:pt idx="0">
                  <c:v>3.3535906328550066E-2</c:v>
                </c:pt>
                <c:pt idx="1">
                  <c:v>3.8800229427443572E-2</c:v>
                </c:pt>
                <c:pt idx="2">
                  <c:v>3.9144736842105267E-2</c:v>
                </c:pt>
                <c:pt idx="3">
                  <c:v>3.8874712535047096E-2</c:v>
                </c:pt>
                <c:pt idx="4">
                  <c:v>3.8873547173246752E-2</c:v>
                </c:pt>
                <c:pt idx="5">
                  <c:v>3.9314840256057991E-2</c:v>
                </c:pt>
                <c:pt idx="6">
                  <c:v>4.1842288904396376E-2</c:v>
                </c:pt>
                <c:pt idx="7">
                  <c:v>4.2326725830084878E-2</c:v>
                </c:pt>
                <c:pt idx="8">
                  <c:v>4.1990244965802878E-2</c:v>
                </c:pt>
                <c:pt idx="9">
                  <c:v>4.5641295759810373E-2</c:v>
                </c:pt>
                <c:pt idx="10">
                  <c:v>4.3461914429656356E-2</c:v>
                </c:pt>
                <c:pt idx="11">
                  <c:v>4.4004584308294729E-2</c:v>
                </c:pt>
                <c:pt idx="12">
                  <c:v>4.4036084196458401E-2</c:v>
                </c:pt>
                <c:pt idx="13">
                  <c:v>4.5316301703163017E-2</c:v>
                </c:pt>
                <c:pt idx="14">
                  <c:v>4.9978704886765556E-2</c:v>
                </c:pt>
                <c:pt idx="15">
                  <c:v>5.0774602172044145E-2</c:v>
                </c:pt>
                <c:pt idx="16">
                  <c:v>4.8264116746351678E-2</c:v>
                </c:pt>
                <c:pt idx="17">
                  <c:v>4.9849249371221475E-2</c:v>
                </c:pt>
                <c:pt idx="18">
                  <c:v>4.8005677785663586E-2</c:v>
                </c:pt>
                <c:pt idx="19">
                  <c:v>4.9264578145810416E-2</c:v>
                </c:pt>
                <c:pt idx="20">
                  <c:v>4.915654424942395E-2</c:v>
                </c:pt>
                <c:pt idx="21">
                  <c:v>4.898764464717982E-2</c:v>
                </c:pt>
                <c:pt idx="22">
                  <c:v>4.8574547766123577E-2</c:v>
                </c:pt>
                <c:pt idx="23">
                  <c:v>4.9344641480339249E-2</c:v>
                </c:pt>
              </c:numCache>
            </c:numRef>
          </c:val>
          <c:extLst xmlns:c16r2="http://schemas.microsoft.com/office/drawing/2015/06/chart">
            <c:ext xmlns:c16="http://schemas.microsoft.com/office/drawing/2014/chart" uri="{C3380CC4-5D6E-409C-BE32-E72D297353CC}">
              <c16:uniqueId val="{00000007-AD02-47CD-9A7E-0F9D8D22DE9D}"/>
            </c:ext>
          </c:extLst>
        </c:ser>
        <c:ser>
          <c:idx val="8"/>
          <c:order val="6"/>
          <c:tx>
            <c:strRef>
              <c:f>'Nominal per person (Core)'!$A$60</c:f>
              <c:strCache>
                <c:ptCount val="1"/>
                <c:pt idx="0">
                  <c:v> Welfare </c:v>
                </c:pt>
              </c:strCache>
            </c:strRef>
          </c:tx>
          <c:spPr>
            <a:solidFill>
              <a:srgbClr val="0070C0"/>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(Core)'!$B$60:$Y$60</c:f>
              <c:numCache>
                <c:formatCode>0.0%</c:formatCode>
                <c:ptCount val="24"/>
                <c:pt idx="0">
                  <c:v>0.21985906881695211</c:v>
                </c:pt>
                <c:pt idx="1">
                  <c:v>0.22015196010320573</c:v>
                </c:pt>
                <c:pt idx="2">
                  <c:v>0.22332072040611917</c:v>
                </c:pt>
                <c:pt idx="3">
                  <c:v>0.2274551379249112</c:v>
                </c:pt>
                <c:pt idx="4">
                  <c:v>0.22861300638279883</c:v>
                </c:pt>
                <c:pt idx="5">
                  <c:v>0.2163923884130835</c:v>
                </c:pt>
                <c:pt idx="6">
                  <c:v>0.21870202372644801</c:v>
                </c:pt>
                <c:pt idx="7">
                  <c:v>0.21641646622985267</c:v>
                </c:pt>
                <c:pt idx="8">
                  <c:v>0.21619117687130435</c:v>
                </c:pt>
                <c:pt idx="9">
                  <c:v>0.21161443244666839</c:v>
                </c:pt>
                <c:pt idx="10">
                  <c:v>0.20715843296488454</c:v>
                </c:pt>
                <c:pt idx="11">
                  <c:v>0.19968005348359677</c:v>
                </c:pt>
                <c:pt idx="12">
                  <c:v>0.1915358057690166</c:v>
                </c:pt>
                <c:pt idx="13">
                  <c:v>0.18621248986212494</c:v>
                </c:pt>
                <c:pt idx="14">
                  <c:v>0.18439716312056739</c:v>
                </c:pt>
                <c:pt idx="15">
                  <c:v>0.18472902082565751</c:v>
                </c:pt>
                <c:pt idx="16">
                  <c:v>0.18183806756038876</c:v>
                </c:pt>
                <c:pt idx="17">
                  <c:v>0.20144345679783796</c:v>
                </c:pt>
                <c:pt idx="18">
                  <c:v>0.18701206529453512</c:v>
                </c:pt>
                <c:pt idx="19">
                  <c:v>0.18014940066014246</c:v>
                </c:pt>
                <c:pt idx="20">
                  <c:v>0.17787955508775924</c:v>
                </c:pt>
                <c:pt idx="21">
                  <c:v>0.1730588943148586</c:v>
                </c:pt>
                <c:pt idx="22">
                  <c:v>0.16489089728176001</c:v>
                </c:pt>
                <c:pt idx="23">
                  <c:v>0.15980197216248024</c:v>
                </c:pt>
              </c:numCache>
            </c:numRef>
          </c:val>
          <c:extLst xmlns:c16r2="http://schemas.microsoft.com/office/drawing/2015/06/chart">
            <c:ext xmlns:c16="http://schemas.microsoft.com/office/drawing/2014/chart" uri="{C3380CC4-5D6E-409C-BE32-E72D297353CC}">
              <c16:uniqueId val="{00000008-AD02-47CD-9A7E-0F9D8D22DE9D}"/>
            </c:ext>
          </c:extLst>
        </c:ser>
        <c:ser>
          <c:idx val="9"/>
          <c:order val="7"/>
          <c:tx>
            <c:strRef>
              <c:f>'Nominal per person (Core)'!$A$61</c:f>
              <c:strCache>
                <c:ptCount val="1"/>
                <c:pt idx="0">
                  <c:v> NZ super </c:v>
                </c:pt>
              </c:strCache>
            </c:strRef>
          </c:tx>
          <c:spPr>
            <a:solidFill>
              <a:schemeClr val="accent1">
                <a:lumMod val="20000"/>
                <a:lumOff val="80000"/>
              </a:schemeClr>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(Core)'!$B$61:$Y$61</c:f>
              <c:numCache>
                <c:formatCode>0.0%</c:formatCode>
                <c:ptCount val="24"/>
                <c:pt idx="0">
                  <c:v>0.16421296656438353</c:v>
                </c:pt>
                <c:pt idx="1">
                  <c:v>0.16714180824255492</c:v>
                </c:pt>
                <c:pt idx="2">
                  <c:v>0.16233717433072295</c:v>
                </c:pt>
                <c:pt idx="3">
                  <c:v>0.15814168657182817</c:v>
                </c:pt>
                <c:pt idx="4">
                  <c:v>0.15435667771273118</c:v>
                </c:pt>
                <c:pt idx="5">
                  <c:v>0.14925024115050717</c:v>
                </c:pt>
                <c:pt idx="6">
                  <c:v>0.14154919748778785</c:v>
                </c:pt>
                <c:pt idx="7">
                  <c:v>0.14011224461585248</c:v>
                </c:pt>
                <c:pt idx="8">
                  <c:v>0.1436823891659173</c:v>
                </c:pt>
                <c:pt idx="9">
                  <c:v>0.14353436923887278</c:v>
                </c:pt>
                <c:pt idx="10">
                  <c:v>0.14141414141414141</c:v>
                </c:pt>
                <c:pt idx="11">
                  <c:v>0.14060933097750825</c:v>
                </c:pt>
                <c:pt idx="12">
                  <c:v>0.13549393028176857</c:v>
                </c:pt>
                <c:pt idx="13">
                  <c:v>0.13004866180048663</c:v>
                </c:pt>
                <c:pt idx="14">
                  <c:v>0.12610410532748181</c:v>
                </c:pt>
                <c:pt idx="15">
                  <c:v>0.12891906591574995</c:v>
                </c:pt>
                <c:pt idx="16">
                  <c:v>0.12099621886816038</c:v>
                </c:pt>
                <c:pt idx="17">
                  <c:v>0.1295049443081874</c:v>
                </c:pt>
                <c:pt idx="18">
                  <c:v>0.12533711852377571</c:v>
                </c:pt>
                <c:pt idx="19">
                  <c:v>0.13874572934159474</c:v>
                </c:pt>
                <c:pt idx="20">
                  <c:v>0.14557790231274714</c:v>
                </c:pt>
                <c:pt idx="21">
                  <c:v>0.15269984748205465</c:v>
                </c:pt>
                <c:pt idx="22">
                  <c:v>0.16017854428368089</c:v>
                </c:pt>
                <c:pt idx="23">
                  <c:v>0.16592947287262103</c:v>
                </c:pt>
              </c:numCache>
            </c:numRef>
          </c:val>
          <c:extLst xmlns:c16r2="http://schemas.microsoft.com/office/drawing/2015/06/chart">
            <c:ext xmlns:c16="http://schemas.microsoft.com/office/drawing/2014/chart" uri="{C3380CC4-5D6E-409C-BE32-E72D297353CC}">
              <c16:uniqueId val="{00000009-AD02-47CD-9A7E-0F9D8D22DE9D}"/>
            </c:ext>
          </c:extLst>
        </c:ser>
        <c:ser>
          <c:idx val="10"/>
          <c:order val="8"/>
          <c:tx>
            <c:strRef>
              <c:f>'Nominal per person (Core)'!$A$62</c:f>
              <c:strCache>
                <c:ptCount val="1"/>
                <c:pt idx="0">
                  <c:v> All other </c:v>
                </c:pt>
              </c:strCache>
            </c:strRef>
          </c:tx>
          <c:spPr>
            <a:solidFill>
              <a:schemeClr val="accent5">
                <a:lumMod val="60000"/>
              </a:schemeClr>
            </a:solidFill>
            <a:ln>
              <a:noFill/>
            </a:ln>
            <a:effectLst/>
          </c:spPr>
          <c:invertIfNegative val="0"/>
          <c:cat>
            <c:numRef>
              <c:f>'Nominal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(Core)'!$B$62:$Y$62</c:f>
              <c:numCache>
                <c:formatCode>0.0%</c:formatCode>
                <c:ptCount val="24"/>
                <c:pt idx="0">
                  <c:v>9.5421426071462659E-2</c:v>
                </c:pt>
                <c:pt idx="1">
                  <c:v>4.1195721852964003E-2</c:v>
                </c:pt>
                <c:pt idx="2">
                  <c:v>5.5493421052631581E-2</c:v>
                </c:pt>
                <c:pt idx="3">
                  <c:v>5.8406577828182586E-2</c:v>
                </c:pt>
                <c:pt idx="4">
                  <c:v>7.3013079234060627E-2</c:v>
                </c:pt>
                <c:pt idx="5">
                  <c:v>9.3858700417994212E-2</c:v>
                </c:pt>
                <c:pt idx="6">
                  <c:v>0.10319609211444522</c:v>
                </c:pt>
                <c:pt idx="7">
                  <c:v>8.9298056454065411E-2</c:v>
                </c:pt>
                <c:pt idx="8">
                  <c:v>0.10384479141121011</c:v>
                </c:pt>
                <c:pt idx="9">
                  <c:v>0.11659204635238346</c:v>
                </c:pt>
                <c:pt idx="10">
                  <c:v>0.10151139183397248</c:v>
                </c:pt>
                <c:pt idx="11">
                  <c:v>0.10594049949859127</c:v>
                </c:pt>
                <c:pt idx="12">
                  <c:v>0.11976834836841518</c:v>
                </c:pt>
                <c:pt idx="13">
                  <c:v>0.11719383617193835</c:v>
                </c:pt>
                <c:pt idx="14">
                  <c:v>0.11573431105679316</c:v>
                </c:pt>
                <c:pt idx="15">
                  <c:v>0.14009509272417847</c:v>
                </c:pt>
                <c:pt idx="16">
                  <c:v>0.1285741070591544</c:v>
                </c:pt>
                <c:pt idx="17">
                  <c:v>0.12006936091106495</c:v>
                </c:pt>
                <c:pt idx="18">
                  <c:v>0.1309013484740951</c:v>
                </c:pt>
                <c:pt idx="19">
                  <c:v>0.10359603914528924</c:v>
                </c:pt>
                <c:pt idx="20">
                  <c:v>0.10511193923704946</c:v>
                </c:pt>
                <c:pt idx="21">
                  <c:v>0.10569913386598011</c:v>
                </c:pt>
                <c:pt idx="22">
                  <c:v>0.10378231969376615</c:v>
                </c:pt>
                <c:pt idx="23">
                  <c:v>0.10412693259749219</c:v>
                </c:pt>
              </c:numCache>
            </c:numRef>
          </c:val>
          <c:extLst xmlns:c16r2="http://schemas.microsoft.com/office/drawing/2015/06/chart">
            <c:ext xmlns:c16="http://schemas.microsoft.com/office/drawing/2014/chart" uri="{C3380CC4-5D6E-409C-BE32-E72D297353CC}">
              <c16:uniqueId val="{0000000A-AD02-47CD-9A7E-0F9D8D22DE9D}"/>
            </c:ext>
          </c:extLst>
        </c:ser>
        <c:dLbls>
          <c:showLegendKey val="0"/>
          <c:showVal val="0"/>
          <c:showCatName val="0"/>
          <c:showSerName val="0"/>
          <c:showPercent val="0"/>
          <c:showBubbleSize val="0"/>
        </c:dLbls>
        <c:gapWidth val="0"/>
        <c:overlap val="100"/>
        <c:axId val="249551312"/>
        <c:axId val="249551704"/>
      </c:barChart>
      <c:dateAx>
        <c:axId val="249551312"/>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49551704"/>
        <c:crosses val="autoZero"/>
        <c:auto val="0"/>
        <c:lblOffset val="100"/>
        <c:baseTimeUnit val="years"/>
        <c:majorUnit val="4"/>
        <c:majorTimeUnit val="years"/>
      </c:dateAx>
      <c:valAx>
        <c:axId val="249551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49551312"/>
        <c:crosses val="autoZero"/>
        <c:crossBetween val="between"/>
      </c:valAx>
      <c:spPr>
        <a:noFill/>
        <a:ln>
          <a:noFill/>
        </a:ln>
        <a:effectLst/>
      </c:spPr>
    </c:plotArea>
    <c:legend>
      <c:legendPos val="b"/>
      <c:layout>
        <c:manualLayout>
          <c:xMode val="edge"/>
          <c:yMode val="edge"/>
          <c:x val="2.9150262467191601E-2"/>
          <c:y val="0.73104221347331588"/>
          <c:w val="0.93892147856517938"/>
          <c:h val="0.268957786526684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'Real per person (Total)'!$A$10</c:f>
              <c:strCache>
                <c:ptCount val="1"/>
                <c:pt idx="0">
                  <c:v>OBEGAL</c:v>
                </c:pt>
              </c:strCache>
            </c:strRef>
          </c:tx>
          <c:spPr>
            <a:ln w="28575" cap="rnd">
              <a:solidFill>
                <a:schemeClr val="accent1"/>
              </a:solidFill>
              <a:round/>
            </a:ln>
            <a:effectLst/>
          </c:spPr>
          <c:marker>
            <c:symbol val="none"/>
          </c:marker>
          <c:cat>
            <c:numRef>
              <c:f>'Real per person (Total)'!$B$2:$Y$2</c:f>
              <c:numCache>
                <c:formatCode>yyyy</c:formatCode>
                <c:ptCount val="24"/>
                <c:pt idx="0">
                  <c:v>36312</c:v>
                </c:pt>
                <c:pt idx="1">
                  <c:v>36678</c:v>
                </c:pt>
                <c:pt idx="2">
                  <c:v>37043</c:v>
                </c:pt>
                <c:pt idx="3">
                  <c:v>37408</c:v>
                </c:pt>
                <c:pt idx="4">
                  <c:v>37773</c:v>
                </c:pt>
                <c:pt idx="5">
                  <c:v>38139</c:v>
                </c:pt>
                <c:pt idx="6">
                  <c:v>38504</c:v>
                </c:pt>
                <c:pt idx="7">
                  <c:v>38869</c:v>
                </c:pt>
                <c:pt idx="8">
                  <c:v>39234</c:v>
                </c:pt>
                <c:pt idx="9">
                  <c:v>39600</c:v>
                </c:pt>
                <c:pt idx="10">
                  <c:v>39965</c:v>
                </c:pt>
                <c:pt idx="11">
                  <c:v>40330</c:v>
                </c:pt>
                <c:pt idx="12">
                  <c:v>40695</c:v>
                </c:pt>
                <c:pt idx="13">
                  <c:v>41061</c:v>
                </c:pt>
                <c:pt idx="14">
                  <c:v>41426</c:v>
                </c:pt>
                <c:pt idx="15">
                  <c:v>41791</c:v>
                </c:pt>
                <c:pt idx="16">
                  <c:v>42156</c:v>
                </c:pt>
                <c:pt idx="17">
                  <c:v>42522</c:v>
                </c:pt>
                <c:pt idx="18">
                  <c:v>42887</c:v>
                </c:pt>
                <c:pt idx="19">
                  <c:v>43252</c:v>
                </c:pt>
                <c:pt idx="20">
                  <c:v>43617</c:v>
                </c:pt>
                <c:pt idx="21">
                  <c:v>43983</c:v>
                </c:pt>
                <c:pt idx="22">
                  <c:v>44348</c:v>
                </c:pt>
                <c:pt idx="23">
                  <c:v>44713</c:v>
                </c:pt>
              </c:numCache>
            </c:numRef>
          </c:cat>
          <c:val>
            <c:numRef>
              <c:f>'Real per person (Total)'!$B$10:$Y$10</c:f>
              <c:numCache>
                <c:formatCode>_-* #,##0_-;\-* #,##0_-;_-* "-"??_-;_-@_-</c:formatCode>
                <c:ptCount val="24"/>
                <c:pt idx="0">
                  <c:v>48.14143049950443</c:v>
                </c:pt>
                <c:pt idx="1">
                  <c:v>217.58870634444625</c:v>
                </c:pt>
                <c:pt idx="2">
                  <c:v>501.79425448652995</c:v>
                </c:pt>
                <c:pt idx="3">
                  <c:v>834.32812548728123</c:v>
                </c:pt>
                <c:pt idx="4">
                  <c:v>1424.1451554038474</c:v>
                </c:pt>
                <c:pt idx="5">
                  <c:v>1749.6849162734059</c:v>
                </c:pt>
                <c:pt idx="6">
                  <c:v>2135.1725052905372</c:v>
                </c:pt>
                <c:pt idx="7">
                  <c:v>2033.4414273185446</c:v>
                </c:pt>
                <c:pt idx="8">
                  <c:v>1632.1842212035642</c:v>
                </c:pt>
                <c:pt idx="9">
                  <c:v>1496.6828604089965</c:v>
                </c:pt>
                <c:pt idx="10">
                  <c:v>-1004.4076042650149</c:v>
                </c:pt>
                <c:pt idx="11">
                  <c:v>-1584.8959852687879</c:v>
                </c:pt>
                <c:pt idx="12">
                  <c:v>-4352.14858707436</c:v>
                </c:pt>
                <c:pt idx="13">
                  <c:v>-2153.628348070697</c:v>
                </c:pt>
                <c:pt idx="14">
                  <c:v>-1013.9532272094303</c:v>
                </c:pt>
                <c:pt idx="15">
                  <c:v>-653.09854230401947</c:v>
                </c:pt>
                <c:pt idx="16">
                  <c:v>90.08322907033974</c:v>
                </c:pt>
                <c:pt idx="17">
                  <c:v>485.61687619859367</c:v>
                </c:pt>
                <c:pt idx="18">
                  <c:v>920.96205594609273</c:v>
                </c:pt>
                <c:pt idx="19">
                  <c:v>606.65765256906889</c:v>
                </c:pt>
                <c:pt idx="20">
                  <c:v>656.38789439233369</c:v>
                </c:pt>
                <c:pt idx="21">
                  <c:v>1085.1729494388237</c:v>
                </c:pt>
                <c:pt idx="22">
                  <c:v>1373.7767441805627</c:v>
                </c:pt>
                <c:pt idx="23">
                  <c:v>1808.1139770963164</c:v>
                </c:pt>
              </c:numCache>
            </c:numRef>
          </c:val>
          <c:smooth val="0"/>
          <c:extLst xmlns:c16r2="http://schemas.microsoft.com/office/drawing/2015/06/chart">
            <c:ext xmlns:c16="http://schemas.microsoft.com/office/drawing/2014/chart" uri="{C3380CC4-5D6E-409C-BE32-E72D297353CC}">
              <c16:uniqueId val="{00000000-912F-4226-A379-D3CAAD77334B}"/>
            </c:ext>
          </c:extLst>
        </c:ser>
        <c:dLbls>
          <c:showLegendKey val="0"/>
          <c:showVal val="0"/>
          <c:showCatName val="0"/>
          <c:showSerName val="0"/>
          <c:showPercent val="0"/>
          <c:showBubbleSize val="0"/>
        </c:dLbls>
        <c:smooth val="0"/>
        <c:axId val="247382696"/>
        <c:axId val="249550136"/>
      </c:lineChart>
      <c:dateAx>
        <c:axId val="247382696"/>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9550136"/>
        <c:crosses val="autoZero"/>
        <c:auto val="1"/>
        <c:lblOffset val="100"/>
        <c:baseTimeUnit val="years"/>
      </c:dateAx>
      <c:valAx>
        <c:axId val="249550136"/>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7382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Weekly tax</a:t>
            </a:r>
            <a:r>
              <a:rPr lang="en-US" baseline="0"/>
              <a:t> bill for average person</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4-C705-48FF-8A66-4C20249FBB0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705-48FF-8A66-4C20249FBB02}"/>
              </c:ext>
            </c:extLst>
          </c:dPt>
          <c:dPt>
            <c:idx val="2"/>
            <c:bubble3D val="0"/>
            <c:spPr>
              <a:solidFill>
                <a:schemeClr val="tx1">
                  <a:lumMod val="95000"/>
                  <a:lumOff val="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C705-48FF-8A66-4C20249FBB02}"/>
              </c:ext>
            </c:extLst>
          </c:dPt>
          <c:dPt>
            <c:idx val="3"/>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C705-48FF-8A66-4C20249FBB02}"/>
              </c:ext>
            </c:extLst>
          </c:dPt>
          <c:dPt>
            <c:idx val="4"/>
            <c:bubble3D val="0"/>
            <c:spPr>
              <a:solidFill>
                <a:schemeClr val="bg1">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C705-48FF-8A66-4C20249FBB02}"/>
              </c:ext>
            </c:extLst>
          </c:dPt>
          <c:dPt>
            <c:idx val="5"/>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705-48FF-8A66-4C20249FBB02}"/>
              </c:ext>
            </c:extLst>
          </c:dPt>
          <c:dPt>
            <c:idx val="6"/>
            <c:bubble3D val="0"/>
            <c:spPr>
              <a:solidFill>
                <a:schemeClr val="tx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2-C705-48FF-8A66-4C20249FBB02}"/>
              </c:ext>
            </c:extLst>
          </c:dPt>
          <c:dPt>
            <c:idx val="7"/>
            <c:bubble3D val="0"/>
            <c:spPr>
              <a:solidFill>
                <a:srgbClr val="0070C0"/>
              </a:solidFill>
              <a:ln w="19050">
                <a:solidFill>
                  <a:schemeClr val="lt1"/>
                </a:solidFill>
              </a:ln>
              <a:effectLst/>
            </c:spPr>
            <c:extLst xmlns:c16r2="http://schemas.microsoft.com/office/drawing/2015/06/chart">
              <c:ext xmlns:c16="http://schemas.microsoft.com/office/drawing/2014/chart" uri="{C3380CC4-5D6E-409C-BE32-E72D297353CC}">
                <c16:uniqueId val="{00000008-C705-48FF-8A66-4C20249FBB02}"/>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78C2-4A0D-A05C-2EF208E248E8}"/>
              </c:ext>
            </c:extLst>
          </c:dPt>
          <c:dLbls>
            <c:dLbl>
              <c:idx val="0"/>
              <c:layout>
                <c:manualLayout>
                  <c:x val="0.1934300087489064"/>
                  <c:y val="2.538914406532516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C705-48FF-8A66-4C20249FBB02}"/>
                </c:ext>
                <c:ext xmlns:c15="http://schemas.microsoft.com/office/drawing/2012/chart" uri="{CE6537A1-D6FC-4f65-9D91-7224C49458BB}">
                  <c15:layout>
                    <c:manualLayout>
                      <c:w val="0.36368044619422574"/>
                      <c:h val="0.14953703703703702"/>
                    </c:manualLayout>
                  </c15:layout>
                </c:ext>
              </c:extLst>
            </c:dLbl>
            <c:dLbl>
              <c:idx val="1"/>
              <c:layout>
                <c:manualLayout>
                  <c:x val="0.19848315835520561"/>
                  <c:y val="0.19049321959755031"/>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C705-48FF-8A66-4C20249FBB02}"/>
                </c:ext>
                <c:ext xmlns:c15="http://schemas.microsoft.com/office/drawing/2012/chart" uri="{CE6537A1-D6FC-4f65-9D91-7224C49458BB}">
                  <c15:layout/>
                </c:ext>
              </c:extLst>
            </c:dLbl>
            <c:dLbl>
              <c:idx val="2"/>
              <c:layout>
                <c:manualLayout>
                  <c:x val="3.0555555555555454E-2"/>
                  <c:y val="0.13193095654709827"/>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C705-48FF-8A66-4C20249FBB02}"/>
                </c:ext>
                <c:ext xmlns:c15="http://schemas.microsoft.com/office/drawing/2012/chart" uri="{CE6537A1-D6FC-4f65-9D91-7224C49458BB}">
                  <c15:layout>
                    <c:manualLayout>
                      <c:w val="0.27916666666666667"/>
                      <c:h val="0.15393518518518517"/>
                    </c:manualLayout>
                  </c15:layout>
                </c:ext>
              </c:extLst>
            </c:dLbl>
            <c:dLbl>
              <c:idx val="3"/>
              <c:layout>
                <c:manualLayout>
                  <c:x val="0.12714501312335949"/>
                  <c:y val="3.149788568095654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C705-48FF-8A66-4C20249FBB02}"/>
                </c:ext>
                <c:ext xmlns:c15="http://schemas.microsoft.com/office/drawing/2012/chart" uri="{CE6537A1-D6FC-4f65-9D91-7224C49458BB}">
                  <c15:layout/>
                </c:ext>
              </c:extLst>
            </c:dLbl>
            <c:dLbl>
              <c:idx val="4"/>
              <c:layout>
                <c:manualLayout>
                  <c:x val="3.8888888888888938E-2"/>
                  <c:y val="0"/>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C705-48FF-8A66-4C20249FBB02}"/>
                </c:ext>
                <c:ext xmlns:c15="http://schemas.microsoft.com/office/drawing/2012/chart" uri="{CE6537A1-D6FC-4f65-9D91-7224C49458BB}">
                  <c15:layout>
                    <c:manualLayout>
                      <c:w val="0.37777777777777777"/>
                      <c:h val="9.8379629629629636E-2"/>
                    </c:manualLayout>
                  </c15:layout>
                </c:ext>
              </c:extLst>
            </c:dLbl>
            <c:dLbl>
              <c:idx val="5"/>
              <c:layout>
                <c:manualLayout>
                  <c:x val="-3.3333333333333333E-2"/>
                  <c:y val="8.879775444736083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C705-48FF-8A66-4C20249FBB02}"/>
                </c:ext>
                <c:ext xmlns:c15="http://schemas.microsoft.com/office/drawing/2012/chart" uri="{CE6537A1-D6FC-4f65-9D91-7224C49458BB}">
                  <c15:layout>
                    <c:manualLayout>
                      <c:w val="0.29375000000000001"/>
                      <c:h val="0.19675925925925927"/>
                    </c:manualLayout>
                  </c15:layout>
                </c:ext>
              </c:extLst>
            </c:dLbl>
            <c:dLbl>
              <c:idx val="6"/>
              <c:layout>
                <c:manualLayout>
                  <c:x val="-0.1827979002624672"/>
                  <c:y val="-5.6441017789442986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C705-48FF-8A66-4C20249FBB02}"/>
                </c:ext>
                <c:ext xmlns:c15="http://schemas.microsoft.com/office/drawing/2012/chart" uri="{CE6537A1-D6FC-4f65-9D91-7224C49458BB}">
                  <c15:layout/>
                </c:ext>
              </c:extLst>
            </c:dLbl>
            <c:dLbl>
              <c:idx val="7"/>
              <c:layout>
                <c:manualLayout>
                  <c:x val="-0.13490244969378828"/>
                  <c:y val="4.5753135024788609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8-C705-48FF-8A66-4C20249FBB02}"/>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'Nominal per person (Core)'!$A$37:$A$45</c:f>
              <c:strCache>
                <c:ptCount val="9"/>
                <c:pt idx="0">
                  <c:v> Core govt services </c:v>
                </c:pt>
                <c:pt idx="1">
                  <c:v> Defence </c:v>
                </c:pt>
                <c:pt idx="2">
                  <c:v> Education </c:v>
                </c:pt>
                <c:pt idx="3">
                  <c:v> Finance costs </c:v>
                </c:pt>
                <c:pt idx="4">
                  <c:v> Health </c:v>
                </c:pt>
                <c:pt idx="5">
                  <c:v> Law and order </c:v>
                </c:pt>
                <c:pt idx="6">
                  <c:v> Welfare </c:v>
                </c:pt>
                <c:pt idx="7">
                  <c:v> NZ super </c:v>
                </c:pt>
                <c:pt idx="8">
                  <c:v> All other </c:v>
                </c:pt>
              </c:strCache>
            </c:strRef>
          </c:cat>
          <c:val>
            <c:numRef>
              <c:f>'Nominal per person (Core)'!$Y$37:$Y$45</c:f>
              <c:numCache>
                <c:formatCode>"$"#,##0.00</c:formatCode>
                <c:ptCount val="9"/>
                <c:pt idx="0">
                  <c:v>16.762929574196168</c:v>
                </c:pt>
                <c:pt idx="1">
                  <c:v>8.2793016375722654</c:v>
                </c:pt>
                <c:pt idx="2">
                  <c:v>53.770508858428371</c:v>
                </c:pt>
                <c:pt idx="3">
                  <c:v>14.670628271907422</c:v>
                </c:pt>
                <c:pt idx="4">
                  <c:v>63.856054979617092</c:v>
                </c:pt>
                <c:pt idx="5">
                  <c:v>14.907646778807319</c:v>
                </c:pt>
                <c:pt idx="6">
                  <c:v>48.278217939920417</c:v>
                </c:pt>
                <c:pt idx="7">
                  <c:v>50.129414209328225</c:v>
                </c:pt>
                <c:pt idx="8">
                  <c:v>31.458077001989786</c:v>
                </c:pt>
              </c:numCache>
            </c:numRef>
          </c:val>
          <c:extLst xmlns:c16r2="http://schemas.microsoft.com/office/drawing/2015/06/chart">
            <c:ext xmlns:c16="http://schemas.microsoft.com/office/drawing/2014/chart" uri="{C3380CC4-5D6E-409C-BE32-E72D297353CC}">
              <c16:uniqueId val="{00000000-C705-48FF-8A66-4C20249FBB0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Nominal spending</a:t>
            </a:r>
            <a:r>
              <a:rPr lang="en-US" baseline="0"/>
              <a:t> per capita</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'Real per person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'Nominal per person (Core)'!$B$46:$Y$46</c:f>
              <c:numCache>
                <c:formatCode>"$"#,##0.00</c:formatCode>
                <c:ptCount val="24"/>
                <c:pt idx="0">
                  <c:v>168.73283964968834</c:v>
                </c:pt>
                <c:pt idx="1">
                  <c:v>157.02174333942838</c:v>
                </c:pt>
                <c:pt idx="2">
                  <c:v>158.71215207741861</c:v>
                </c:pt>
                <c:pt idx="3">
                  <c:v>163.12147981117857</c:v>
                </c:pt>
                <c:pt idx="4">
                  <c:v>167.13162749170709</c:v>
                </c:pt>
                <c:pt idx="5">
                  <c:v>171.97924786423513</c:v>
                </c:pt>
                <c:pt idx="6">
                  <c:v>179.14897390379423</c:v>
                </c:pt>
                <c:pt idx="7">
                  <c:v>179.8195403486198</c:v>
                </c:pt>
                <c:pt idx="8">
                  <c:v>181.37246743393263</c:v>
                </c:pt>
                <c:pt idx="9">
                  <c:v>184.42223181173037</c:v>
                </c:pt>
                <c:pt idx="10">
                  <c:v>189.99486400409077</c:v>
                </c:pt>
                <c:pt idx="11">
                  <c:v>196.50538915689603</c:v>
                </c:pt>
                <c:pt idx="12">
                  <c:v>208.27772619786373</c:v>
                </c:pt>
                <c:pt idx="13">
                  <c:v>226.03246554118621</c:v>
                </c:pt>
                <c:pt idx="14">
                  <c:v>245.19589223235567</c:v>
                </c:pt>
                <c:pt idx="15">
                  <c:v>256.60948465354619</c:v>
                </c:pt>
                <c:pt idx="16">
                  <c:v>285.27807845692797</c:v>
                </c:pt>
                <c:pt idx="17">
                  <c:v>282.1739102985776</c:v>
                </c:pt>
                <c:pt idx="18">
                  <c:v>308.18978686489618</c:v>
                </c:pt>
                <c:pt idx="19">
                  <c:v>300.53315047905647</c:v>
                </c:pt>
                <c:pt idx="20">
                  <c:v>303.53507088006228</c:v>
                </c:pt>
                <c:pt idx="21">
                  <c:v>303.92307974170689</c:v>
                </c:pt>
                <c:pt idx="22">
                  <c:v>301.9708254367078</c:v>
                </c:pt>
                <c:pt idx="23">
                  <c:v>302.11277925176705</c:v>
                </c:pt>
              </c:numCache>
            </c:numRef>
          </c:val>
          <c:smooth val="0"/>
          <c:extLst xmlns:c16r2="http://schemas.microsoft.com/office/drawing/2015/06/chart">
            <c:ext xmlns:c16="http://schemas.microsoft.com/office/drawing/2014/chart" uri="{C3380CC4-5D6E-409C-BE32-E72D297353CC}">
              <c16:uniqueId val="{00000000-C580-4227-8FD6-85629F131F53}"/>
            </c:ext>
          </c:extLst>
        </c:ser>
        <c:dLbls>
          <c:showLegendKey val="0"/>
          <c:showVal val="0"/>
          <c:showCatName val="0"/>
          <c:showSerName val="0"/>
          <c:showPercent val="0"/>
          <c:showBubbleSize val="0"/>
        </c:dLbls>
        <c:smooth val="0"/>
        <c:axId val="246302744"/>
        <c:axId val="246302352"/>
      </c:lineChart>
      <c:dateAx>
        <c:axId val="246302744"/>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302352"/>
        <c:crosses val="autoZero"/>
        <c:auto val="1"/>
        <c:lblOffset val="100"/>
        <c:baseTimeUnit val="years"/>
        <c:majorUnit val="3"/>
        <c:majorTimeUnit val="years"/>
      </c:dateAx>
      <c:valAx>
        <c:axId val="246302352"/>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302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Percentage of real spending</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03718285214349"/>
          <c:y val="0.18009295713035869"/>
          <c:w val="0.84040726159230095"/>
          <c:h val="0.47138414989792948"/>
        </c:manualLayout>
      </c:layout>
      <c:barChart>
        <c:barDir val="col"/>
        <c:grouping val="percentStacked"/>
        <c:varyColors val="0"/>
        <c:ser>
          <c:idx val="0"/>
          <c:order val="0"/>
          <c:tx>
            <c:strRef>
              <c:f>'Real (Core)'!$A$6</c:f>
              <c:strCache>
                <c:ptCount val="1"/>
                <c:pt idx="0">
                  <c:v> Core govt services </c:v>
                </c:pt>
              </c:strCache>
            </c:strRef>
          </c:tx>
          <c:spPr>
            <a:solidFill>
              <a:schemeClr val="accent1"/>
            </a:solidFill>
            <a:ln>
              <a:noFill/>
            </a:ln>
            <a:effectLst/>
          </c:spPr>
          <c:invertIfNegative val="0"/>
          <c:cat>
            <c:numRef>
              <c:f>'Real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(Core)'!$B$6:$Y$6</c:f>
              <c:numCache>
                <c:formatCode>0</c:formatCode>
                <c:ptCount val="24"/>
                <c:pt idx="0">
                  <c:v>2332.5094345153661</c:v>
                </c:pt>
                <c:pt idx="1">
                  <c:v>2715.4631031237</c:v>
                </c:pt>
                <c:pt idx="2">
                  <c:v>2019.3325226231482</c:v>
                </c:pt>
                <c:pt idx="3">
                  <c:v>2312.1564243249422</c:v>
                </c:pt>
                <c:pt idx="4">
                  <c:v>2435.563651915691</c:v>
                </c:pt>
                <c:pt idx="5">
                  <c:v>2244.8434092182356</c:v>
                </c:pt>
                <c:pt idx="6">
                  <c:v>2459.2920014472443</c:v>
                </c:pt>
                <c:pt idx="7">
                  <c:v>2418.1411750987149</c:v>
                </c:pt>
                <c:pt idx="8">
                  <c:v>2462.9014251925014</c:v>
                </c:pt>
                <c:pt idx="9">
                  <c:v>2052.9537885859127</c:v>
                </c:pt>
                <c:pt idx="10">
                  <c:v>2798.0983603495574</c:v>
                </c:pt>
                <c:pt idx="11">
                  <c:v>2683.3259775530523</c:v>
                </c:pt>
                <c:pt idx="12">
                  <c:v>3202.9764706765559</c:v>
                </c:pt>
                <c:pt idx="13">
                  <c:v>3008.4</c:v>
                </c:pt>
                <c:pt idx="14">
                  <c:v>5665.8823508981268</c:v>
                </c:pt>
                <c:pt idx="15">
                  <c:v>3812.6295937747682</c:v>
                </c:pt>
                <c:pt idx="16">
                  <c:v>5875.6706718687892</c:v>
                </c:pt>
                <c:pt idx="17">
                  <c:v>3247.3157409130808</c:v>
                </c:pt>
                <c:pt idx="18">
                  <c:v>5769.7493489900262</c:v>
                </c:pt>
                <c:pt idx="19">
                  <c:v>5576.7123292354145</c:v>
                </c:pt>
                <c:pt idx="20">
                  <c:v>4381.6326510513372</c:v>
                </c:pt>
                <c:pt idx="21">
                  <c:v>4520.8368181124833</c:v>
                </c:pt>
                <c:pt idx="22">
                  <c:v>4134</c:v>
                </c:pt>
                <c:pt idx="23">
                  <c:v>4084.979250722236</c:v>
                </c:pt>
              </c:numCache>
            </c:numRef>
          </c:val>
          <c:extLst xmlns:c16r2="http://schemas.microsoft.com/office/drawing/2015/06/chart">
            <c:ext xmlns:c16="http://schemas.microsoft.com/office/drawing/2014/chart" uri="{C3380CC4-5D6E-409C-BE32-E72D297353CC}">
              <c16:uniqueId val="{00000000-7211-4B02-A17C-7EA8308B0F10}"/>
            </c:ext>
          </c:extLst>
        </c:ser>
        <c:ser>
          <c:idx val="1"/>
          <c:order val="1"/>
          <c:tx>
            <c:strRef>
              <c:f>'Real (Core)'!$A$7</c:f>
              <c:strCache>
                <c:ptCount val="1"/>
                <c:pt idx="0">
                  <c:v> Defence </c:v>
                </c:pt>
              </c:strCache>
            </c:strRef>
          </c:tx>
          <c:spPr>
            <a:solidFill>
              <a:schemeClr val="accent2"/>
            </a:solidFill>
            <a:ln>
              <a:noFill/>
            </a:ln>
            <a:effectLst/>
          </c:spPr>
          <c:invertIfNegative val="0"/>
          <c:cat>
            <c:numRef>
              <c:f>'Real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(Core)'!$B$7:$Y$7</c:f>
              <c:numCache>
                <c:formatCode>0</c:formatCode>
                <c:ptCount val="24"/>
                <c:pt idx="0">
                  <c:v>1868.8753870809594</c:v>
                </c:pt>
                <c:pt idx="1">
                  <c:v>1653.2331951112949</c:v>
                </c:pt>
                <c:pt idx="2">
                  <c:v>1526.5551085203351</c:v>
                </c:pt>
                <c:pt idx="3">
                  <c:v>1433.0937582077918</c:v>
                </c:pt>
                <c:pt idx="4">
                  <c:v>1382.1494989275607</c:v>
                </c:pt>
                <c:pt idx="5">
                  <c:v>1530.5750517397062</c:v>
                </c:pt>
                <c:pt idx="6">
                  <c:v>1485.6720008742882</c:v>
                </c:pt>
                <c:pt idx="7">
                  <c:v>1763.4047048819282</c:v>
                </c:pt>
                <c:pt idx="8">
                  <c:v>1701.2923081696811</c:v>
                </c:pt>
                <c:pt idx="9">
                  <c:v>1549.0469495693706</c:v>
                </c:pt>
                <c:pt idx="10">
                  <c:v>1575.0797812484129</c:v>
                </c:pt>
                <c:pt idx="11">
                  <c:v>1682.3722413065766</c:v>
                </c:pt>
                <c:pt idx="12">
                  <c:v>1590.8823529850442</c:v>
                </c:pt>
                <c:pt idx="13">
                  <c:v>1659.6000000000001</c:v>
                </c:pt>
                <c:pt idx="14">
                  <c:v>1784.7058817093973</c:v>
                </c:pt>
                <c:pt idx="15">
                  <c:v>1766.6352493254785</c:v>
                </c:pt>
                <c:pt idx="16">
                  <c:v>1950.4162800818935</c:v>
                </c:pt>
                <c:pt idx="17">
                  <c:v>1980.7097357149728</c:v>
                </c:pt>
                <c:pt idx="18">
                  <c:v>1876.2316326304078</c:v>
                </c:pt>
                <c:pt idx="19">
                  <c:v>1783.5616439853868</c:v>
                </c:pt>
                <c:pt idx="20">
                  <c:v>1840.816325686216</c:v>
                </c:pt>
                <c:pt idx="21">
                  <c:v>1818.5774050647951</c:v>
                </c:pt>
                <c:pt idx="22">
                  <c:v>1961</c:v>
                </c:pt>
                <c:pt idx="23">
                  <c:v>2017.5933598155166</c:v>
                </c:pt>
              </c:numCache>
            </c:numRef>
          </c:val>
          <c:extLst xmlns:c16r2="http://schemas.microsoft.com/office/drawing/2015/06/chart">
            <c:ext xmlns:c16="http://schemas.microsoft.com/office/drawing/2014/chart" uri="{C3380CC4-5D6E-409C-BE32-E72D297353CC}">
              <c16:uniqueId val="{00000001-7211-4B02-A17C-7EA8308B0F10}"/>
            </c:ext>
          </c:extLst>
        </c:ser>
        <c:ser>
          <c:idx val="2"/>
          <c:order val="2"/>
          <c:tx>
            <c:strRef>
              <c:f>'Real (Core)'!$A$8</c:f>
              <c:strCache>
                <c:ptCount val="1"/>
                <c:pt idx="0">
                  <c:v> Education </c:v>
                </c:pt>
              </c:strCache>
            </c:strRef>
          </c:tx>
          <c:spPr>
            <a:solidFill>
              <a:schemeClr val="accent3"/>
            </a:solidFill>
            <a:ln>
              <a:noFill/>
            </a:ln>
            <a:effectLst/>
          </c:spPr>
          <c:invertIfNegative val="0"/>
          <c:cat>
            <c:numRef>
              <c:f>'Real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(Core)'!$B$8:$Y$8</c:f>
              <c:numCache>
                <c:formatCode>0</c:formatCode>
                <c:ptCount val="24"/>
                <c:pt idx="0">
                  <c:v>7231.7351934871913</c:v>
                </c:pt>
                <c:pt idx="1">
                  <c:v>7292.1925584175033</c:v>
                </c:pt>
                <c:pt idx="2">
                  <c:v>7237.9508254917764</c:v>
                </c:pt>
                <c:pt idx="3">
                  <c:v>7311.7329993508883</c:v>
                </c:pt>
                <c:pt idx="4">
                  <c:v>7794.6803137193829</c:v>
                </c:pt>
                <c:pt idx="5">
                  <c:v>8211.9303714935977</c:v>
                </c:pt>
                <c:pt idx="6">
                  <c:v>8508.7176050072103</c:v>
                </c:pt>
                <c:pt idx="7">
                  <c:v>8923.0823478788825</c:v>
                </c:pt>
                <c:pt idx="8">
                  <c:v>8405.0962986547202</c:v>
                </c:pt>
                <c:pt idx="9">
                  <c:v>8629.0713464393593</c:v>
                </c:pt>
                <c:pt idx="10">
                  <c:v>9216.6469935269943</c:v>
                </c:pt>
                <c:pt idx="11">
                  <c:v>9733.6334479865618</c:v>
                </c:pt>
                <c:pt idx="12">
                  <c:v>9894.6643601344331</c:v>
                </c:pt>
                <c:pt idx="13">
                  <c:v>11896.800000000001</c:v>
                </c:pt>
                <c:pt idx="14">
                  <c:v>10904.705878420833</c:v>
                </c:pt>
                <c:pt idx="15">
                  <c:v>10802.262014281463</c:v>
                </c:pt>
                <c:pt idx="16">
                  <c:v>12716.003692850363</c:v>
                </c:pt>
                <c:pt idx="17">
                  <c:v>12801.455866329845</c:v>
                </c:pt>
                <c:pt idx="18">
                  <c:v>12082.97320074309</c:v>
                </c:pt>
                <c:pt idx="19">
                  <c:v>11973.287672238304</c:v>
                </c:pt>
                <c:pt idx="20">
                  <c:v>12759.183667616655</c:v>
                </c:pt>
                <c:pt idx="21">
                  <c:v>12351.464429760894</c:v>
                </c:pt>
                <c:pt idx="22">
                  <c:v>12879</c:v>
                </c:pt>
                <c:pt idx="23">
                  <c:v>13103.402481960795</c:v>
                </c:pt>
              </c:numCache>
            </c:numRef>
          </c:val>
          <c:extLst xmlns:c16r2="http://schemas.microsoft.com/office/drawing/2015/06/chart">
            <c:ext xmlns:c16="http://schemas.microsoft.com/office/drawing/2014/chart" uri="{C3380CC4-5D6E-409C-BE32-E72D297353CC}">
              <c16:uniqueId val="{00000002-7211-4B02-A17C-7EA8308B0F10}"/>
            </c:ext>
          </c:extLst>
        </c:ser>
        <c:ser>
          <c:idx val="3"/>
          <c:order val="3"/>
          <c:tx>
            <c:strRef>
              <c:f>'Real (Core)'!$A$9</c:f>
              <c:strCache>
                <c:ptCount val="1"/>
                <c:pt idx="0">
                  <c:v> Finance costs </c:v>
                </c:pt>
              </c:strCache>
            </c:strRef>
          </c:tx>
          <c:spPr>
            <a:solidFill>
              <a:schemeClr val="accent4"/>
            </a:solidFill>
            <a:ln>
              <a:noFill/>
            </a:ln>
            <a:effectLst/>
          </c:spPr>
          <c:invertIfNegative val="0"/>
          <c:cat>
            <c:numRef>
              <c:f>'Real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(Core)'!$B$9:$Y$9</c:f>
              <c:numCache>
                <c:formatCode>0</c:formatCode>
                <c:ptCount val="24"/>
                <c:pt idx="0">
                  <c:v>6310.8400752154139</c:v>
                </c:pt>
                <c:pt idx="1">
                  <c:v>5969.9212040815873</c:v>
                </c:pt>
                <c:pt idx="2">
                  <c:v>5661.6658861904234</c:v>
                </c:pt>
                <c:pt idx="3">
                  <c:v>5470.8723573643847</c:v>
                </c:pt>
                <c:pt idx="4">
                  <c:v>4488.3332565596893</c:v>
                </c:pt>
                <c:pt idx="5">
                  <c:v>4029.7957230780621</c:v>
                </c:pt>
                <c:pt idx="6">
                  <c:v>3629.0784021356403</c:v>
                </c:pt>
                <c:pt idx="7">
                  <c:v>3355.7011745668128</c:v>
                </c:pt>
                <c:pt idx="8">
                  <c:v>3156.0205137060748</c:v>
                </c:pt>
                <c:pt idx="9">
                  <c:v>2823.4780027434826</c:v>
                </c:pt>
                <c:pt idx="10">
                  <c:v>3100.2404368192283</c:v>
                </c:pt>
                <c:pt idx="11">
                  <c:v>2889.9330949064915</c:v>
                </c:pt>
                <c:pt idx="12">
                  <c:v>2837.3854672062671</c:v>
                </c:pt>
                <c:pt idx="13">
                  <c:v>2827.2000000000003</c:v>
                </c:pt>
                <c:pt idx="14">
                  <c:v>2739.9999990119886</c:v>
                </c:pt>
                <c:pt idx="15">
                  <c:v>2782.2808664152863</c:v>
                </c:pt>
                <c:pt idx="16">
                  <c:v>2696.3922278422988</c:v>
                </c:pt>
                <c:pt idx="17">
                  <c:v>2523.3848948386449</c:v>
                </c:pt>
                <c:pt idx="18">
                  <c:v>3179.9481402127308</c:v>
                </c:pt>
                <c:pt idx="19">
                  <c:v>3607.1917811248231</c:v>
                </c:pt>
                <c:pt idx="20">
                  <c:v>3692.857141163202</c:v>
                </c:pt>
                <c:pt idx="21">
                  <c:v>3635.146441929629</c:v>
                </c:pt>
                <c:pt idx="22">
                  <c:v>3783</c:v>
                </c:pt>
                <c:pt idx="23">
                  <c:v>3575.1037323483242</c:v>
                </c:pt>
              </c:numCache>
            </c:numRef>
          </c:val>
          <c:extLst xmlns:c16r2="http://schemas.microsoft.com/office/drawing/2015/06/chart">
            <c:ext xmlns:c16="http://schemas.microsoft.com/office/drawing/2014/chart" uri="{C3380CC4-5D6E-409C-BE32-E72D297353CC}">
              <c16:uniqueId val="{00000003-7211-4B02-A17C-7EA8308B0F10}"/>
            </c:ext>
          </c:extLst>
        </c:ser>
        <c:ser>
          <c:idx val="4"/>
          <c:order val="4"/>
          <c:tx>
            <c:strRef>
              <c:f>'Real (Core)'!$A$10</c:f>
              <c:strCache>
                <c:ptCount val="1"/>
                <c:pt idx="0">
                  <c:v> Health </c:v>
                </c:pt>
              </c:strCache>
            </c:strRef>
          </c:tx>
          <c:spPr>
            <a:solidFill>
              <a:schemeClr val="accent5"/>
            </a:solidFill>
            <a:ln>
              <a:noFill/>
            </a:ln>
            <a:effectLst/>
          </c:spPr>
          <c:invertIfNegative val="0"/>
          <c:cat>
            <c:numRef>
              <c:f>'Real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(Core)'!$B$10:$Y$10</c:f>
              <c:numCache>
                <c:formatCode>0</c:formatCode>
                <c:ptCount val="24"/>
                <c:pt idx="0">
                  <c:v>6640.6416141120535</c:v>
                </c:pt>
                <c:pt idx="1">
                  <c:v>7252.7923392775774</c:v>
                </c:pt>
                <c:pt idx="2">
                  <c:v>7363.0288847288821</c:v>
                </c:pt>
                <c:pt idx="3">
                  <c:v>7723.9321318663251</c:v>
                </c:pt>
                <c:pt idx="4">
                  <c:v>8219.8446944677125</c:v>
                </c:pt>
                <c:pt idx="5">
                  <c:v>8624.3951976431708</c:v>
                </c:pt>
                <c:pt idx="6">
                  <c:v>9480.8952055793179</c:v>
                </c:pt>
                <c:pt idx="7">
                  <c:v>9720.6447003675821</c:v>
                </c:pt>
                <c:pt idx="8">
                  <c:v>9122.8717974316223</c:v>
                </c:pt>
                <c:pt idx="9">
                  <c:v>9374.266909958531</c:v>
                </c:pt>
                <c:pt idx="10">
                  <c:v>9853.7726765173848</c:v>
                </c:pt>
                <c:pt idx="11">
                  <c:v>10408.635582942519</c:v>
                </c:pt>
                <c:pt idx="12">
                  <c:v>10996.428374005643</c:v>
                </c:pt>
                <c:pt idx="13">
                  <c:v>11456.400000000001</c:v>
                </c:pt>
                <c:pt idx="14">
                  <c:v>12182.352936783658</c:v>
                </c:pt>
                <c:pt idx="15">
                  <c:v>12777.002824346946</c:v>
                </c:pt>
                <c:pt idx="16">
                  <c:v>13729.509705209368</c:v>
                </c:pt>
                <c:pt idx="17">
                  <c:v>14334.485893311004</c:v>
                </c:pt>
                <c:pt idx="18">
                  <c:v>14264.131367366499</c:v>
                </c:pt>
                <c:pt idx="19">
                  <c:v>14547.945206701081</c:v>
                </c:pt>
                <c:pt idx="20">
                  <c:v>14793.877544234347</c:v>
                </c:pt>
                <c:pt idx="21">
                  <c:v>14960.334721510391</c:v>
                </c:pt>
                <c:pt idx="22">
                  <c:v>15058</c:v>
                </c:pt>
                <c:pt idx="23">
                  <c:v>15561.16181662254</c:v>
                </c:pt>
              </c:numCache>
            </c:numRef>
          </c:val>
          <c:extLst xmlns:c16r2="http://schemas.microsoft.com/office/drawing/2015/06/chart">
            <c:ext xmlns:c16="http://schemas.microsoft.com/office/drawing/2014/chart" uri="{C3380CC4-5D6E-409C-BE32-E72D297353CC}">
              <c16:uniqueId val="{00000004-7211-4B02-A17C-7EA8308B0F10}"/>
            </c:ext>
          </c:extLst>
        </c:ser>
        <c:ser>
          <c:idx val="5"/>
          <c:order val="5"/>
          <c:tx>
            <c:strRef>
              <c:f>'Real (Core)'!$A$11</c:f>
              <c:strCache>
                <c:ptCount val="1"/>
                <c:pt idx="0">
                  <c:v> Law and order </c:v>
                </c:pt>
              </c:strCache>
            </c:strRef>
          </c:tx>
          <c:spPr>
            <a:solidFill>
              <a:schemeClr val="accent6"/>
            </a:solidFill>
            <a:ln>
              <a:noFill/>
            </a:ln>
            <a:effectLst/>
          </c:spPr>
          <c:invertIfNegative val="0"/>
          <c:cat>
            <c:numRef>
              <c:f>'Real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(Core)'!$B$11:$Y$11</c:f>
              <c:numCache>
                <c:formatCode>0</c:formatCode>
                <c:ptCount val="24"/>
                <c:pt idx="0">
                  <c:v>1679.279333319123</c:v>
                </c:pt>
                <c:pt idx="1">
                  <c:v>1812.410080436596</c:v>
                </c:pt>
                <c:pt idx="2">
                  <c:v>1793.2878372548853</c:v>
                </c:pt>
                <c:pt idx="3">
                  <c:v>1823.1316470396032</c:v>
                </c:pt>
                <c:pt idx="4">
                  <c:v>1871.5999028818237</c:v>
                </c:pt>
                <c:pt idx="5">
                  <c:v>1932.9797601783143</c:v>
                </c:pt>
                <c:pt idx="6">
                  <c:v>2162.1576012723867</c:v>
                </c:pt>
                <c:pt idx="7">
                  <c:v>2165.0141164187908</c:v>
                </c:pt>
                <c:pt idx="8">
                  <c:v>2110.8626786549744</c:v>
                </c:pt>
                <c:pt idx="9">
                  <c:v>2310.2395555970043</c:v>
                </c:pt>
                <c:pt idx="10">
                  <c:v>2277.8885243409072</c:v>
                </c:pt>
                <c:pt idx="11">
                  <c:v>2365.0740203875062</c:v>
                </c:pt>
                <c:pt idx="12">
                  <c:v>2466.8034602756334</c:v>
                </c:pt>
                <c:pt idx="13">
                  <c:v>2682.0000000000005</c:v>
                </c:pt>
                <c:pt idx="14">
                  <c:v>3175.2941165020852</c:v>
                </c:pt>
                <c:pt idx="15">
                  <c:v>3273.1385477259505</c:v>
                </c:pt>
                <c:pt idx="16">
                  <c:v>3429.0471765355542</c:v>
                </c:pt>
                <c:pt idx="17">
                  <c:v>3484.2584160234169</c:v>
                </c:pt>
                <c:pt idx="18">
                  <c:v>3507.6923060011272</c:v>
                </c:pt>
                <c:pt idx="19">
                  <c:v>3496.2328770059166</c:v>
                </c:pt>
                <c:pt idx="20">
                  <c:v>3526.5306106272524</c:v>
                </c:pt>
                <c:pt idx="21">
                  <c:v>3515.6485340319423</c:v>
                </c:pt>
                <c:pt idx="22">
                  <c:v>3515</c:v>
                </c:pt>
                <c:pt idx="23">
                  <c:v>3632.863068414119</c:v>
                </c:pt>
              </c:numCache>
            </c:numRef>
          </c:val>
          <c:extLst xmlns:c16r2="http://schemas.microsoft.com/office/drawing/2015/06/chart">
            <c:ext xmlns:c16="http://schemas.microsoft.com/office/drawing/2014/chart" uri="{C3380CC4-5D6E-409C-BE32-E72D297353CC}">
              <c16:uniqueId val="{00000005-7211-4B02-A17C-7EA8308B0F10}"/>
            </c:ext>
          </c:extLst>
        </c:ser>
        <c:ser>
          <c:idx val="6"/>
          <c:order val="6"/>
          <c:tx>
            <c:strRef>
              <c:f>'Real (Core)'!$A$12</c:f>
              <c:strCache>
                <c:ptCount val="1"/>
                <c:pt idx="0">
                  <c:v> Welfare </c:v>
                </c:pt>
              </c:strCache>
            </c:strRef>
          </c:tx>
          <c:spPr>
            <a:solidFill>
              <a:schemeClr val="accent1">
                <a:lumMod val="60000"/>
              </a:schemeClr>
            </a:solidFill>
            <a:ln>
              <a:noFill/>
            </a:ln>
            <a:effectLst/>
          </c:spPr>
          <c:invertIfNegative val="0"/>
          <c:cat>
            <c:numRef>
              <c:f>'Real (Core)'!$B$2:$Y$2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(Core)'!$B$12:$Y$12</c:f>
              <c:numCache>
                <c:formatCode>0</c:formatCode>
                <c:ptCount val="24"/>
                <c:pt idx="0">
                  <c:v>11009.238482777491</c:v>
                </c:pt>
                <c:pt idx="1">
                  <c:v>10283.589494362806</c:v>
                </c:pt>
                <c:pt idx="2">
                  <c:v>10230.706961364107</c:v>
                </c:pt>
                <c:pt idx="3">
                  <c:v>10667.105508724018</c:v>
                </c:pt>
                <c:pt idx="4">
                  <c:v>11006.767111750349</c:v>
                </c:pt>
                <c:pt idx="5">
                  <c:v>10639.293059182201</c:v>
                </c:pt>
                <c:pt idx="6">
                  <c:v>11301.204006650532</c:v>
                </c:pt>
                <c:pt idx="7">
                  <c:v>11069.712934896339</c:v>
                </c:pt>
                <c:pt idx="8">
                  <c:v>10867.997723847222</c:v>
                </c:pt>
                <c:pt idx="9">
                  <c:v>10711.353046290784</c:v>
                </c:pt>
                <c:pt idx="10">
                  <c:v>10857.409834877508</c:v>
                </c:pt>
                <c:pt idx="11">
                  <c:v>10732.020636191381</c:v>
                </c:pt>
                <c:pt idx="12">
                  <c:v>10729.409688877173</c:v>
                </c:pt>
                <c:pt idx="13">
                  <c:v>11020.800000000001</c:v>
                </c:pt>
                <c:pt idx="14">
                  <c:v>11715.294113422662</c:v>
                </c:pt>
                <c:pt idx="15">
                  <c:v>11908.388309953882</c:v>
                </c:pt>
                <c:pt idx="16">
                  <c:v>12919.148928624403</c:v>
                </c:pt>
                <c:pt idx="17">
                  <c:v>14080.072790542763</c:v>
                </c:pt>
                <c:pt idx="18">
                  <c:v>13664.649950196585</c:v>
                </c:pt>
                <c:pt idx="19">
                  <c:v>12784.9315079229</c:v>
                </c:pt>
                <c:pt idx="20">
                  <c:v>12761.224483942249</c:v>
                </c:pt>
                <c:pt idx="21">
                  <c:v>12419.748948559572</c:v>
                </c:pt>
                <c:pt idx="22">
                  <c:v>11932</c:v>
                </c:pt>
                <c:pt idx="23">
                  <c:v>11764.979246229277</c:v>
                </c:pt>
              </c:numCache>
            </c:numRef>
          </c:val>
          <c:extLst xmlns:c16r2="http://schemas.microsoft.com/office/drawing/2015/06/chart">
            <c:ext xmlns:c16="http://schemas.microsoft.com/office/drawing/2014/chart" uri="{C3380CC4-5D6E-409C-BE32-E72D297353CC}">
              <c16:uniqueId val="{00000006-7211-4B02-A17C-7EA8308B0F10}"/>
            </c:ext>
          </c:extLst>
        </c:ser>
        <c:dLbls>
          <c:showLegendKey val="0"/>
          <c:showVal val="0"/>
          <c:showCatName val="0"/>
          <c:showSerName val="0"/>
          <c:showPercent val="0"/>
          <c:showBubbleSize val="0"/>
        </c:dLbls>
        <c:gapWidth val="0"/>
        <c:overlap val="100"/>
        <c:axId val="187201272"/>
        <c:axId val="187200880"/>
      </c:barChart>
      <c:dateAx>
        <c:axId val="187201272"/>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200880"/>
        <c:crosses val="autoZero"/>
        <c:auto val="1"/>
        <c:lblOffset val="100"/>
        <c:baseTimeUnit val="years"/>
        <c:majorUnit val="4"/>
        <c:majorTimeUnit val="years"/>
      </c:dateAx>
      <c:valAx>
        <c:axId val="187200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201272"/>
        <c:crosses val="autoZero"/>
        <c:crossBetween val="between"/>
      </c:valAx>
      <c:spPr>
        <a:noFill/>
        <a:ln>
          <a:noFill/>
        </a:ln>
        <a:effectLst/>
      </c:spPr>
    </c:plotArea>
    <c:legend>
      <c:legendPos val="b"/>
      <c:layout>
        <c:manualLayout>
          <c:xMode val="edge"/>
          <c:yMode val="edge"/>
          <c:x val="0"/>
          <c:y val="0.77076771653543286"/>
          <c:w val="0.93430927384076989"/>
          <c:h val="0.2014545056867891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Annual  Real per capita spending</a:t>
            </a:r>
          </a:p>
        </c:rich>
      </c:tx>
      <c:layout>
        <c:manualLayout>
          <c:xMode val="edge"/>
          <c:yMode val="edge"/>
          <c:x val="0.22691666666666666"/>
          <c:y val="4.6296296296296294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049584426946632"/>
          <c:y val="0.34675962379702541"/>
          <c:w val="0.79130839895013128"/>
          <c:h val="0.4834594634004083"/>
        </c:manualLayout>
      </c:layout>
      <c:lineChart>
        <c:grouping val="standard"/>
        <c:varyColors val="0"/>
        <c:ser>
          <c:idx val="0"/>
          <c:order val="0"/>
          <c:tx>
            <c:strRef>
              <c:f>'Real per person (Core)'!$A$6</c:f>
              <c:strCache>
                <c:ptCount val="1"/>
                <c:pt idx="0">
                  <c:v> Core govt services </c:v>
                </c:pt>
              </c:strCache>
            </c:strRef>
          </c:tx>
          <c:spPr>
            <a:ln w="28575" cap="rnd">
              <a:solidFill>
                <a:srgbClr val="00B0F0"/>
              </a:solidFill>
              <a:prstDash val="sysDash"/>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(Core)'!$B$6:$AC$6</c:f>
              <c:numCache>
                <c:formatCode>_-* #,##0_-;\-* #,##0_-;_-* "-"??_-;_-@_-</c:formatCode>
                <c:ptCount val="28"/>
                <c:pt idx="0">
                  <c:v>652.96160195827952</c:v>
                </c:pt>
                <c:pt idx="1">
                  <c:v>750.12792903969614</c:v>
                </c:pt>
                <c:pt idx="2">
                  <c:v>549.71757026818432</c:v>
                </c:pt>
                <c:pt idx="3">
                  <c:v>619.54888111600803</c:v>
                </c:pt>
                <c:pt idx="4">
                  <c:v>644.10748999436464</c:v>
                </c:pt>
                <c:pt idx="5">
                  <c:v>588.42553321578907</c:v>
                </c:pt>
                <c:pt idx="6">
                  <c:v>641.25889845043002</c:v>
                </c:pt>
                <c:pt idx="7">
                  <c:v>626.83494701472762</c:v>
                </c:pt>
                <c:pt idx="8">
                  <c:v>634.6866190420053</c:v>
                </c:pt>
                <c:pt idx="9">
                  <c:v>519.93257910242187</c:v>
                </c:pt>
                <c:pt idx="10">
                  <c:v>694.79995042450275</c:v>
                </c:pt>
                <c:pt idx="11">
                  <c:v>656.47118716894249</c:v>
                </c:pt>
                <c:pt idx="12">
                  <c:v>774.80743865999568</c:v>
                </c:pt>
                <c:pt idx="13">
                  <c:v>718.91660672508681</c:v>
                </c:pt>
                <c:pt idx="14">
                  <c:v>1341.3991824771954</c:v>
                </c:pt>
                <c:pt idx="15">
                  <c:v>895.03599830383666</c:v>
                </c:pt>
                <c:pt idx="16">
                  <c:v>1365.6124966284935</c:v>
                </c:pt>
                <c:pt idx="17">
                  <c:v>746.39440383046303</c:v>
                </c:pt>
                <c:pt idx="18">
                  <c:v>1316.1014671610496</c:v>
                </c:pt>
                <c:pt idx="19">
                  <c:v>1265.1401161610113</c:v>
                </c:pt>
                <c:pt idx="20">
                  <c:v>986.38766598035556</c:v>
                </c:pt>
                <c:pt idx="21">
                  <c:v>1002.4717481938854</c:v>
                </c:pt>
                <c:pt idx="22">
                  <c:v>899.52673665886959</c:v>
                </c:pt>
                <c:pt idx="23">
                  <c:v>870.44092280465293</c:v>
                </c:pt>
                <c:pt idx="24">
                  <c:v>807.91906311228854</c:v>
                </c:pt>
                <c:pt idx="25">
                  <c:v>1060.3622187272515</c:v>
                </c:pt>
                <c:pt idx="26">
                  <c:v>936.31296380376307</c:v>
                </c:pt>
                <c:pt idx="27">
                  <c:v>928.16413752804465</c:v>
                </c:pt>
              </c:numCache>
            </c:numRef>
          </c:val>
          <c:smooth val="0"/>
          <c:extLst xmlns:c16r2="http://schemas.microsoft.com/office/drawing/2015/06/chart">
            <c:ext xmlns:c16="http://schemas.microsoft.com/office/drawing/2014/chart" uri="{C3380CC4-5D6E-409C-BE32-E72D297353CC}">
              <c16:uniqueId val="{00000000-0C3A-4D6F-B862-5251B5A2CDD5}"/>
            </c:ext>
          </c:extLst>
        </c:ser>
        <c:ser>
          <c:idx val="1"/>
          <c:order val="1"/>
          <c:tx>
            <c:strRef>
              <c:f>'Real per person (Core)'!$A$7</c:f>
              <c:strCache>
                <c:ptCount val="1"/>
                <c:pt idx="0">
                  <c:v> Defence </c:v>
                </c:pt>
              </c:strCache>
            </c:strRef>
          </c:tx>
          <c:spPr>
            <a:ln w="28575" cap="rnd">
              <a:solidFill>
                <a:schemeClr val="accent2"/>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(Core)'!$B$7:$AC$7</c:f>
              <c:numCache>
                <c:formatCode>_-* #,##0_-;\-* #,##0_-;_-* "-"??_-;_-@_-</c:formatCode>
                <c:ptCount val="28"/>
                <c:pt idx="0">
                  <c:v>523.17210320837557</c:v>
                </c:pt>
                <c:pt idx="1">
                  <c:v>456.69425279317539</c:v>
                </c:pt>
                <c:pt idx="2">
                  <c:v>415.57007364303786</c:v>
                </c:pt>
                <c:pt idx="3">
                  <c:v>384.00154292813284</c:v>
                </c:pt>
                <c:pt idx="4">
                  <c:v>365.52230685942942</c:v>
                </c:pt>
                <c:pt idx="5">
                  <c:v>401.19922719258358</c:v>
                </c:pt>
                <c:pt idx="6">
                  <c:v>387.38807355069963</c:v>
                </c:pt>
                <c:pt idx="7">
                  <c:v>457.11297013296218</c:v>
                </c:pt>
                <c:pt idx="8">
                  <c:v>438.42090147395464</c:v>
                </c:pt>
                <c:pt idx="9">
                  <c:v>392.31276423182743</c:v>
                </c:pt>
                <c:pt idx="10">
                  <c:v>391.11039462862851</c:v>
                </c:pt>
                <c:pt idx="11">
                  <c:v>411.58953915757223</c:v>
                </c:pt>
                <c:pt idx="12">
                  <c:v>384.83813178476601</c:v>
                </c:pt>
                <c:pt idx="13">
                  <c:v>396.59420307171729</c:v>
                </c:pt>
                <c:pt idx="14">
                  <c:v>422.52960129109329</c:v>
                </c:pt>
                <c:pt idx="15">
                  <c:v>414.72744863559564</c:v>
                </c:pt>
                <c:pt idx="16">
                  <c:v>453.31213991616522</c:v>
                </c:pt>
                <c:pt idx="17">
                  <c:v>455.26545008354407</c:v>
                </c:pt>
                <c:pt idx="18">
                  <c:v>427.97547260369203</c:v>
                </c:pt>
                <c:pt idx="19">
                  <c:v>404.62108357691886</c:v>
                </c:pt>
                <c:pt idx="20">
                  <c:v>414.40227047707526</c:v>
                </c:pt>
                <c:pt idx="21">
                  <c:v>403.25995912463941</c:v>
                </c:pt>
                <c:pt idx="22">
                  <c:v>426.69858020997663</c:v>
                </c:pt>
                <c:pt idx="23">
                  <c:v>429.91548259439941</c:v>
                </c:pt>
                <c:pt idx="24">
                  <c:v>438.15878429086973</c:v>
                </c:pt>
                <c:pt idx="25">
                  <c:v>448.24942616969474</c:v>
                </c:pt>
                <c:pt idx="26">
                  <c:v>466.25495273087466</c:v>
                </c:pt>
                <c:pt idx="27">
                  <c:v>468.5859351473531</c:v>
                </c:pt>
              </c:numCache>
            </c:numRef>
          </c:val>
          <c:smooth val="0"/>
          <c:extLst xmlns:c16r2="http://schemas.microsoft.com/office/drawing/2015/06/chart">
            <c:ext xmlns:c16="http://schemas.microsoft.com/office/drawing/2014/chart" uri="{C3380CC4-5D6E-409C-BE32-E72D297353CC}">
              <c16:uniqueId val="{00000001-0C3A-4D6F-B862-5251B5A2CDD5}"/>
            </c:ext>
          </c:extLst>
        </c:ser>
        <c:ser>
          <c:idx val="2"/>
          <c:order val="2"/>
          <c:tx>
            <c:strRef>
              <c:f>'Real per person (Core)'!$A$8</c:f>
              <c:strCache>
                <c:ptCount val="1"/>
                <c:pt idx="0">
                  <c:v> Education </c:v>
                </c:pt>
              </c:strCache>
            </c:strRef>
          </c:tx>
          <c:spPr>
            <a:ln w="28575" cap="rnd">
              <a:solidFill>
                <a:srgbClr val="FF0000"/>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(Core)'!$B$8:$AC$8</c:f>
              <c:numCache>
                <c:formatCode>_-* #,##0_-;\-* #,##0_-;_-* "-"??_-;_-@_-</c:formatCode>
                <c:ptCount val="28"/>
                <c:pt idx="0">
                  <c:v>2024.448573284584</c:v>
                </c:pt>
                <c:pt idx="1">
                  <c:v>2014.41783381699</c:v>
                </c:pt>
                <c:pt idx="2">
                  <c:v>1970.3682761179768</c:v>
                </c:pt>
                <c:pt idx="3">
                  <c:v>1959.1996246920924</c:v>
                </c:pt>
                <c:pt idx="4">
                  <c:v>2061.3758003118987</c:v>
                </c:pt>
                <c:pt idx="5">
                  <c:v>2152.5374499327909</c:v>
                </c:pt>
                <c:pt idx="6">
                  <c:v>2218.6429571607546</c:v>
                </c:pt>
                <c:pt idx="7">
                  <c:v>2313.0576114987903</c:v>
                </c:pt>
                <c:pt idx="8">
                  <c:v>2165.9828111466873</c:v>
                </c:pt>
                <c:pt idx="9">
                  <c:v>2185.4049250194657</c:v>
                </c:pt>
                <c:pt idx="10">
                  <c:v>2288.5992733231515</c:v>
                </c:pt>
                <c:pt idx="11">
                  <c:v>2381.3170514951835</c:v>
                </c:pt>
                <c:pt idx="12">
                  <c:v>2393.5422627868197</c:v>
                </c:pt>
                <c:pt idx="13">
                  <c:v>2842.9753646081022</c:v>
                </c:pt>
                <c:pt idx="14">
                  <c:v>2581.6920727535557</c:v>
                </c:pt>
                <c:pt idx="15">
                  <c:v>2535.8910767724547</c:v>
                </c:pt>
                <c:pt idx="16">
                  <c:v>2955.4300300168879</c:v>
                </c:pt>
                <c:pt idx="17">
                  <c:v>2942.4102187317922</c:v>
                </c:pt>
                <c:pt idx="18">
                  <c:v>2756.1715068175854</c:v>
                </c:pt>
                <c:pt idx="19">
                  <c:v>2716.2754078372191</c:v>
                </c:pt>
                <c:pt idx="20">
                  <c:v>2872.3314800694843</c:v>
                </c:pt>
                <c:pt idx="21">
                  <c:v>2738.8721685439341</c:v>
                </c:pt>
                <c:pt idx="22">
                  <c:v>2802.3717565141706</c:v>
                </c:pt>
                <c:pt idx="23">
                  <c:v>2792.116446188109</c:v>
                </c:pt>
                <c:pt idx="24">
                  <c:v>2711.6434362381365</c:v>
                </c:pt>
                <c:pt idx="25">
                  <c:v>2779.9380527177495</c:v>
                </c:pt>
                <c:pt idx="26">
                  <c:v>2894.5077041065965</c:v>
                </c:pt>
                <c:pt idx="27">
                  <c:v>2934.6825691221438</c:v>
                </c:pt>
              </c:numCache>
            </c:numRef>
          </c:val>
          <c:smooth val="0"/>
          <c:extLst xmlns:c16r2="http://schemas.microsoft.com/office/drawing/2015/06/chart">
            <c:ext xmlns:c16="http://schemas.microsoft.com/office/drawing/2014/chart" uri="{C3380CC4-5D6E-409C-BE32-E72D297353CC}">
              <c16:uniqueId val="{00000002-0C3A-4D6F-B862-5251B5A2CDD5}"/>
            </c:ext>
          </c:extLst>
        </c:ser>
        <c:ser>
          <c:idx val="3"/>
          <c:order val="3"/>
          <c:tx>
            <c:strRef>
              <c:f>'Real per person (Core)'!$A$9</c:f>
              <c:strCache>
                <c:ptCount val="1"/>
                <c:pt idx="0">
                  <c:v> Finance costs </c:v>
                </c:pt>
              </c:strCache>
            </c:strRef>
          </c:tx>
          <c:spPr>
            <a:ln w="28575" cap="rnd">
              <a:solidFill>
                <a:srgbClr val="FF0000"/>
              </a:solidFill>
              <a:prstDash val="dash"/>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(Core)'!$B$9:$AC$9</c:f>
              <c:numCache>
                <c:formatCode>_-* #,##0_-;\-* #,##0_-;_-* "-"??_-;_-@_-</c:formatCode>
                <c:ptCount val="28"/>
                <c:pt idx="0">
                  <c:v>1766.6536238775584</c:v>
                </c:pt>
                <c:pt idx="1">
                  <c:v>1649.1495038899413</c:v>
                </c:pt>
                <c:pt idx="2">
                  <c:v>1541.260381714603</c:v>
                </c:pt>
                <c:pt idx="3">
                  <c:v>1465.9357870751298</c:v>
                </c:pt>
                <c:pt idx="4">
                  <c:v>1186.9815292517626</c:v>
                </c:pt>
                <c:pt idx="5">
                  <c:v>1056.3029418291119</c:v>
                </c:pt>
                <c:pt idx="6">
                  <c:v>946.27999325588382</c:v>
                </c:pt>
                <c:pt idx="7">
                  <c:v>869.87095278710444</c:v>
                </c:pt>
                <c:pt idx="8">
                  <c:v>813.30254186472746</c:v>
                </c:pt>
                <c:pt idx="9">
                  <c:v>715.07610554475946</c:v>
                </c:pt>
                <c:pt idx="10">
                  <c:v>769.8252971839562</c:v>
                </c:pt>
                <c:pt idx="11">
                  <c:v>707.01727092513556</c:v>
                </c:pt>
                <c:pt idx="12">
                  <c:v>686.37012680671205</c:v>
                </c:pt>
                <c:pt idx="13">
                  <c:v>675.61528737307731</c:v>
                </c:pt>
                <c:pt idx="14">
                  <c:v>648.69574252271354</c:v>
                </c:pt>
                <c:pt idx="15">
                  <c:v>653.15590502148859</c:v>
                </c:pt>
                <c:pt idx="16">
                  <c:v>626.69048825063487</c:v>
                </c:pt>
                <c:pt idx="17">
                  <c:v>579.99914836993958</c:v>
                </c:pt>
                <c:pt idx="18">
                  <c:v>725.35809784572677</c:v>
                </c:pt>
                <c:pt idx="19">
                  <c:v>818.33215693465559</c:v>
                </c:pt>
                <c:pt idx="20">
                  <c:v>831.33138406681564</c:v>
                </c:pt>
                <c:pt idx="21">
                  <c:v>806.07457318122283</c:v>
                </c:pt>
                <c:pt idx="22">
                  <c:v>823.15182505575808</c:v>
                </c:pt>
                <c:pt idx="23">
                  <c:v>761.79495681830906</c:v>
                </c:pt>
                <c:pt idx="24">
                  <c:v>721.55318904190756</c:v>
                </c:pt>
                <c:pt idx="25">
                  <c:v>695.23189144995035</c:v>
                </c:pt>
                <c:pt idx="26">
                  <c:v>657.92909316836324</c:v>
                </c:pt>
                <c:pt idx="27">
                  <c:v>634.58558184725894</c:v>
                </c:pt>
              </c:numCache>
            </c:numRef>
          </c:val>
          <c:smooth val="0"/>
          <c:extLst xmlns:c16r2="http://schemas.microsoft.com/office/drawing/2015/06/chart">
            <c:ext xmlns:c16="http://schemas.microsoft.com/office/drawing/2014/chart" uri="{C3380CC4-5D6E-409C-BE32-E72D297353CC}">
              <c16:uniqueId val="{00000003-0C3A-4D6F-B862-5251B5A2CDD5}"/>
            </c:ext>
          </c:extLst>
        </c:ser>
        <c:ser>
          <c:idx val="4"/>
          <c:order val="4"/>
          <c:tx>
            <c:strRef>
              <c:f>'Real per person (Core)'!$A$10</c:f>
              <c:strCache>
                <c:ptCount val="1"/>
                <c:pt idx="0">
                  <c:v> Health </c:v>
                </c:pt>
              </c:strCache>
            </c:strRef>
          </c:tx>
          <c:spPr>
            <a:ln w="28575" cap="rnd">
              <a:solidFill>
                <a:schemeClr val="accent5"/>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(Core)'!$B$10:$AC$10</c:f>
              <c:numCache>
                <c:formatCode>_-* #,##0_-;\-* #,##0_-;_-* "-"??_-;_-@_-</c:formatCode>
                <c:ptCount val="28"/>
                <c:pt idx="0">
                  <c:v>1858.9781126790365</c:v>
                </c:pt>
                <c:pt idx="1">
                  <c:v>2003.5337953805463</c:v>
                </c:pt>
                <c:pt idx="2">
                  <c:v>2004.4179465151853</c:v>
                </c:pt>
                <c:pt idx="3">
                  <c:v>2069.649553018844</c:v>
                </c:pt>
                <c:pt idx="4">
                  <c:v>2173.8144803289115</c:v>
                </c:pt>
                <c:pt idx="5">
                  <c:v>2260.6540491856281</c:v>
                </c:pt>
                <c:pt idx="6">
                  <c:v>2472.1376771347077</c:v>
                </c:pt>
                <c:pt idx="7">
                  <c:v>2519.8031729703143</c:v>
                </c:pt>
                <c:pt idx="8">
                  <c:v>2350.9526600777276</c:v>
                </c:pt>
                <c:pt idx="9">
                  <c:v>2374.1336988624871</c:v>
                </c:pt>
                <c:pt idx="10">
                  <c:v>2446.8048958376503</c:v>
                </c:pt>
                <c:pt idx="11">
                  <c:v>2546.4551884874668</c:v>
                </c:pt>
                <c:pt idx="12">
                  <c:v>2660.0615336620731</c:v>
                </c:pt>
                <c:pt idx="13">
                  <c:v>2737.7330851234165</c:v>
                </c:pt>
                <c:pt idx="14">
                  <c:v>2884.1753601643186</c:v>
                </c:pt>
                <c:pt idx="15">
                  <c:v>2999.4724630194137</c:v>
                </c:pt>
                <c:pt idx="16">
                  <c:v>3190.9872205367856</c:v>
                </c:pt>
                <c:pt idx="17">
                  <c:v>3294.7766420599596</c:v>
                </c:pt>
                <c:pt idx="18">
                  <c:v>3253.7018655160732</c:v>
                </c:pt>
                <c:pt idx="19">
                  <c:v>3300.365520420029</c:v>
                </c:pt>
                <c:pt idx="20">
                  <c:v>3330.3792224925928</c:v>
                </c:pt>
                <c:pt idx="21">
                  <c:v>3317.3754119485798</c:v>
                </c:pt>
                <c:pt idx="22">
                  <c:v>3276.5054670075615</c:v>
                </c:pt>
                <c:pt idx="23">
                  <c:v>3315.8239541066564</c:v>
                </c:pt>
                <c:pt idx="24">
                  <c:v>3312.3252365101484</c:v>
                </c:pt>
                <c:pt idx="25">
                  <c:v>3320.014292901898</c:v>
                </c:pt>
                <c:pt idx="26">
                  <c:v>3409.2516506981456</c:v>
                </c:pt>
                <c:pt idx="27">
                  <c:v>3421.1001385218674</c:v>
                </c:pt>
              </c:numCache>
            </c:numRef>
          </c:val>
          <c:smooth val="0"/>
          <c:extLst xmlns:c16r2="http://schemas.microsoft.com/office/drawing/2015/06/chart">
            <c:ext xmlns:c16="http://schemas.microsoft.com/office/drawing/2014/chart" uri="{C3380CC4-5D6E-409C-BE32-E72D297353CC}">
              <c16:uniqueId val="{00000004-0C3A-4D6F-B862-5251B5A2CDD5}"/>
            </c:ext>
          </c:extLst>
        </c:ser>
        <c:ser>
          <c:idx val="5"/>
          <c:order val="5"/>
          <c:tx>
            <c:strRef>
              <c:f>'Real per person (Core)'!$A$11</c:f>
              <c:strCache>
                <c:ptCount val="1"/>
                <c:pt idx="0">
                  <c:v> Law and order </c:v>
                </c:pt>
              </c:strCache>
            </c:strRef>
          </c:tx>
          <c:spPr>
            <a:ln w="28575" cap="rnd">
              <a:solidFill>
                <a:schemeClr val="accent6"/>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(Core)'!$B$11:$AC$11</c:f>
              <c:numCache>
                <c:formatCode>_-* #,##0_-;\-* #,##0_-;_-* "-"??_-;_-@_-</c:formatCode>
                <c:ptCount val="28"/>
                <c:pt idx="0">
                  <c:v>470.09667244810566</c:v>
                </c:pt>
                <c:pt idx="1">
                  <c:v>500.66576807640769</c:v>
                </c:pt>
                <c:pt idx="2">
                  <c:v>488.18202135756661</c:v>
                </c:pt>
                <c:pt idx="3">
                  <c:v>488.51330306527416</c:v>
                </c:pt>
                <c:pt idx="4">
                  <c:v>494.96202440478771</c:v>
                </c:pt>
                <c:pt idx="5">
                  <c:v>506.67883621974164</c:v>
                </c:pt>
                <c:pt idx="6">
                  <c:v>563.78128374029006</c:v>
                </c:pt>
                <c:pt idx="7">
                  <c:v>561.21889115763042</c:v>
                </c:pt>
                <c:pt idx="8">
                  <c:v>543.96667405101778</c:v>
                </c:pt>
                <c:pt idx="9">
                  <c:v>585.09296076915393</c:v>
                </c:pt>
                <c:pt idx="10">
                  <c:v>565.62587513431345</c:v>
                </c:pt>
                <c:pt idx="11">
                  <c:v>578.61138113455809</c:v>
                </c:pt>
                <c:pt idx="12">
                  <c:v>596.72547963802538</c:v>
                </c:pt>
                <c:pt idx="13">
                  <c:v>640.91687915060606</c:v>
                </c:pt>
                <c:pt idx="14">
                  <c:v>751.75174283761419</c:v>
                </c:pt>
                <c:pt idx="15">
                  <c:v>768.38747525698705</c:v>
                </c:pt>
                <c:pt idx="16">
                  <c:v>796.97279465056033</c:v>
                </c:pt>
                <c:pt idx="17">
                  <c:v>800.85559604001617</c:v>
                </c:pt>
                <c:pt idx="18">
                  <c:v>800.11777133537123</c:v>
                </c:pt>
                <c:pt idx="19">
                  <c:v>793.15987754162143</c:v>
                </c:pt>
                <c:pt idx="20">
                  <c:v>793.88816339732386</c:v>
                </c:pt>
                <c:pt idx="21">
                  <c:v>779.57654163189545</c:v>
                </c:pt>
                <c:pt idx="22">
                  <c:v>764.83707773486378</c:v>
                </c:pt>
                <c:pt idx="23">
                  <c:v>774.1025076526995</c:v>
                </c:pt>
                <c:pt idx="24">
                  <c:v>792.60596487285932</c:v>
                </c:pt>
                <c:pt idx="25">
                  <c:v>801.70349907877858</c:v>
                </c:pt>
                <c:pt idx="26">
                  <c:v>822.98182521175602</c:v>
                </c:pt>
                <c:pt idx="27">
                  <c:v>831.28505246619477</c:v>
                </c:pt>
              </c:numCache>
            </c:numRef>
          </c:val>
          <c:smooth val="0"/>
          <c:extLst xmlns:c16r2="http://schemas.microsoft.com/office/drawing/2015/06/chart">
            <c:ext xmlns:c16="http://schemas.microsoft.com/office/drawing/2014/chart" uri="{C3380CC4-5D6E-409C-BE32-E72D297353CC}">
              <c16:uniqueId val="{00000005-0C3A-4D6F-B862-5251B5A2CDD5}"/>
            </c:ext>
          </c:extLst>
        </c:ser>
        <c:ser>
          <c:idx val="6"/>
          <c:order val="6"/>
          <c:tx>
            <c:strRef>
              <c:f>'Real per person (Core)'!$A$12</c:f>
              <c:strCache>
                <c:ptCount val="1"/>
                <c:pt idx="0">
                  <c:v> Welfare </c:v>
                </c:pt>
              </c:strCache>
            </c:strRef>
          </c:tx>
          <c:spPr>
            <a:ln w="28575" cap="rnd">
              <a:solidFill>
                <a:srgbClr val="00B0F0"/>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(Core)'!$B$12:$AC$12</c:f>
              <c:numCache>
                <c:formatCode>_-* #,##0_-;\-* #,##0_-;_-* "-"??_-;_-@_-</c:formatCode>
                <c:ptCount val="28"/>
                <c:pt idx="0">
                  <c:v>3081.9210802243688</c:v>
                </c:pt>
                <c:pt idx="1">
                  <c:v>2840.7705785532612</c:v>
                </c:pt>
                <c:pt idx="2">
                  <c:v>2785.0783909631696</c:v>
                </c:pt>
                <c:pt idx="3">
                  <c:v>2858.2812188435205</c:v>
                </c:pt>
                <c:pt idx="4">
                  <c:v>2910.8420680058048</c:v>
                </c:pt>
                <c:pt idx="5">
                  <c:v>2788.8055201001839</c:v>
                </c:pt>
                <c:pt idx="6">
                  <c:v>2946.7820934657589</c:v>
                </c:pt>
                <c:pt idx="7">
                  <c:v>2869.5110907785311</c:v>
                </c:pt>
                <c:pt idx="8">
                  <c:v>2800.6694301886923</c:v>
                </c:pt>
                <c:pt idx="9">
                  <c:v>2712.7651123947785</c:v>
                </c:pt>
                <c:pt idx="10">
                  <c:v>2696.0195259429647</c:v>
                </c:pt>
                <c:pt idx="11">
                  <c:v>2625.5707978449864</c:v>
                </c:pt>
                <c:pt idx="12">
                  <c:v>2595.4690942880025</c:v>
                </c:pt>
                <c:pt idx="13">
                  <c:v>2633.6378604560027</c:v>
                </c:pt>
                <c:pt idx="14">
                  <c:v>2773.5990571237357</c:v>
                </c:pt>
                <c:pt idx="15">
                  <c:v>2795.560375598071</c:v>
                </c:pt>
                <c:pt idx="16">
                  <c:v>3002.644669518686</c:v>
                </c:pt>
                <c:pt idx="17">
                  <c:v>3236.299878074587</c:v>
                </c:pt>
                <c:pt idx="18">
                  <c:v>3116.9579057786855</c:v>
                </c:pt>
                <c:pt idx="19">
                  <c:v>2900.4059700640428</c:v>
                </c:pt>
                <c:pt idx="20">
                  <c:v>2872.7909060899688</c:v>
                </c:pt>
                <c:pt idx="21">
                  <c:v>2754.0139008578353</c:v>
                </c:pt>
                <c:pt idx="22">
                  <c:v>2596.311809824294</c:v>
                </c:pt>
                <c:pt idx="23">
                  <c:v>2506.9207854739561</c:v>
                </c:pt>
                <c:pt idx="24">
                  <c:v>2501.343553749974</c:v>
                </c:pt>
                <c:pt idx="25">
                  <c:v>2472.0015815830711</c:v>
                </c:pt>
                <c:pt idx="26">
                  <c:v>2727.1731370579955</c:v>
                </c:pt>
                <c:pt idx="27">
                  <c:v>2672.1714999222927</c:v>
                </c:pt>
              </c:numCache>
            </c:numRef>
          </c:val>
          <c:smooth val="0"/>
          <c:extLst xmlns:c16r2="http://schemas.microsoft.com/office/drawing/2015/06/chart">
            <c:ext xmlns:c16="http://schemas.microsoft.com/office/drawing/2014/chart" uri="{C3380CC4-5D6E-409C-BE32-E72D297353CC}">
              <c16:uniqueId val="{00000006-0C3A-4D6F-B862-5251B5A2CDD5}"/>
            </c:ext>
          </c:extLst>
        </c:ser>
        <c:ser>
          <c:idx val="7"/>
          <c:order val="7"/>
          <c:tx>
            <c:strRef>
              <c:f>'Real per person (Core)'!$A$13</c:f>
              <c:strCache>
                <c:ptCount val="1"/>
                <c:pt idx="0">
                  <c:v> NZ super </c:v>
                </c:pt>
              </c:strCache>
            </c:strRef>
          </c:tx>
          <c:spPr>
            <a:ln w="28575" cap="rnd">
              <a:solidFill>
                <a:schemeClr val="accent2">
                  <a:lumMod val="60000"/>
                </a:schemeClr>
              </a:solidFill>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(Core)'!$B$13:$AC$13</c:f>
              <c:numCache>
                <c:formatCode>_-* #,##0_-;\-* #,##0_-;_-* "-"??_-;_-@_-</c:formatCode>
                <c:ptCount val="28"/>
                <c:pt idx="0">
                  <c:v>2301.8900517690686</c:v>
                </c:pt>
                <c:pt idx="1">
                  <c:v>2156.7445099242027</c:v>
                </c:pt>
                <c:pt idx="2">
                  <c:v>2024.5401118907057</c:v>
                </c:pt>
                <c:pt idx="3">
                  <c:v>1987.2640238784857</c:v>
                </c:pt>
                <c:pt idx="4">
                  <c:v>1965.3646048969433</c:v>
                </c:pt>
                <c:pt idx="5">
                  <c:v>1923.4960131881046</c:v>
                </c:pt>
                <c:pt idx="6">
                  <c:v>1907.2280786170854</c:v>
                </c:pt>
                <c:pt idx="7">
                  <c:v>1857.7774920880931</c:v>
                </c:pt>
                <c:pt idx="8">
                  <c:v>1861.3473538423211</c:v>
                </c:pt>
                <c:pt idx="9">
                  <c:v>1840.0211403299993</c:v>
                </c:pt>
                <c:pt idx="10">
                  <c:v>1840.404375725373</c:v>
                </c:pt>
                <c:pt idx="11">
                  <c:v>1848.856442485845</c:v>
                </c:pt>
                <c:pt idx="12">
                  <c:v>1836.0551808993973</c:v>
                </c:pt>
                <c:pt idx="13">
                  <c:v>1839.3023994952962</c:v>
                </c:pt>
                <c:pt idx="14">
                  <c:v>1896.7874652553367</c:v>
                </c:pt>
                <c:pt idx="15">
                  <c:v>1950.9713780885768</c:v>
                </c:pt>
                <c:pt idx="16">
                  <c:v>1997.9790617591257</c:v>
                </c:pt>
                <c:pt idx="17">
                  <c:v>2080.5681263465162</c:v>
                </c:pt>
                <c:pt idx="18">
                  <c:v>2089.0123952960753</c:v>
                </c:pt>
                <c:pt idx="19">
                  <c:v>2233.8067194707314</c:v>
                </c:pt>
                <c:pt idx="20">
                  <c:v>2351.1126598297478</c:v>
                </c:pt>
                <c:pt idx="21">
                  <c:v>2430.0253638471509</c:v>
                </c:pt>
                <c:pt idx="22">
                  <c:v>2522.1128216286788</c:v>
                </c:pt>
                <c:pt idx="23">
                  <c:v>2603.0470014735924</c:v>
                </c:pt>
                <c:pt idx="24">
                  <c:v>2663.0498711583477</c:v>
                </c:pt>
                <c:pt idx="25">
                  <c:v>2705.3287663310052</c:v>
                </c:pt>
                <c:pt idx="26">
                  <c:v>2745.0475112654599</c:v>
                </c:pt>
                <c:pt idx="27">
                  <c:v>2822.5454877412553</c:v>
                </c:pt>
              </c:numCache>
            </c:numRef>
          </c:val>
          <c:smooth val="0"/>
          <c:extLst xmlns:c16r2="http://schemas.microsoft.com/office/drawing/2015/06/chart">
            <c:ext xmlns:c16="http://schemas.microsoft.com/office/drawing/2014/chart" uri="{C3380CC4-5D6E-409C-BE32-E72D297353CC}">
              <c16:uniqueId val="{00000007-0C3A-4D6F-B862-5251B5A2CDD5}"/>
            </c:ext>
          </c:extLst>
        </c:ser>
        <c:ser>
          <c:idx val="8"/>
          <c:order val="8"/>
          <c:tx>
            <c:strRef>
              <c:f>'Real per person (Core)'!$A$14</c:f>
              <c:strCache>
                <c:ptCount val="1"/>
                <c:pt idx="0">
                  <c:v> All other </c:v>
                </c:pt>
              </c:strCache>
            </c:strRef>
          </c:tx>
          <c:spPr>
            <a:ln w="28575" cap="rnd">
              <a:solidFill>
                <a:schemeClr val="tx1"/>
              </a:solidFill>
              <a:prstDash val="sysDash"/>
              <a:round/>
            </a:ln>
            <a:effectLst/>
          </c:spPr>
          <c:marker>
            <c:symbol val="none"/>
          </c:marker>
          <c:cat>
            <c:numRef>
              <c:f>'Real per person (Core)'!$B$2:$AC$2</c:f>
              <c:numCache>
                <c:formatCode>yyyy</c:formatCode>
                <c:ptCount val="28"/>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numCache>
            </c:numRef>
          </c:cat>
          <c:val>
            <c:numRef>
              <c:f>'Real per person (Core)'!$B$14:$AC$14</c:f>
              <c:numCache>
                <c:formatCode>_-* #,##0_-;\-* #,##0_-;_-* "-"??_-;_-@_-</c:formatCode>
                <c:ptCount val="28"/>
                <c:pt idx="0">
                  <c:v>1337.5900575634428</c:v>
                </c:pt>
                <c:pt idx="1">
                  <c:v>531.57643723590775</c:v>
                </c:pt>
                <c:pt idx="2">
                  <c:v>692.06980674807983</c:v>
                </c:pt>
                <c:pt idx="3">
                  <c:v>733.95758823583321</c:v>
                </c:pt>
                <c:pt idx="4">
                  <c:v>929.64764302725916</c:v>
                </c:pt>
                <c:pt idx="5">
                  <c:v>1209.625087807874</c:v>
                </c:pt>
                <c:pt idx="6">
                  <c:v>1390.4599105989676</c:v>
                </c:pt>
                <c:pt idx="7">
                  <c:v>1184.0215665833746</c:v>
                </c:pt>
                <c:pt idx="8">
                  <c:v>1345.267355488922</c:v>
                </c:pt>
                <c:pt idx="9">
                  <c:v>1494.6373556405333</c:v>
                </c:pt>
                <c:pt idx="10">
                  <c:v>1321.0984972860265</c:v>
                </c:pt>
                <c:pt idx="11">
                  <c:v>1392.999836187756</c:v>
                </c:pt>
                <c:pt idx="12">
                  <c:v>1622.9604977307349</c:v>
                </c:pt>
                <c:pt idx="13">
                  <c:v>1657.4942109577194</c:v>
                </c:pt>
                <c:pt idx="14">
                  <c:v>1740.8108161300811</c:v>
                </c:pt>
                <c:pt idx="15">
                  <c:v>2120.1015860148732</c:v>
                </c:pt>
                <c:pt idx="16">
                  <c:v>2123.1107566136166</c:v>
                </c:pt>
                <c:pt idx="17">
                  <c:v>1928.9802918093271</c:v>
                </c:pt>
                <c:pt idx="18">
                  <c:v>2181.7522434224693</c:v>
                </c:pt>
                <c:pt idx="19">
                  <c:v>1667.8965864495572</c:v>
                </c:pt>
                <c:pt idx="20">
                  <c:v>1697.5791456904581</c:v>
                </c:pt>
                <c:pt idx="21">
                  <c:v>1682.0683220472258</c:v>
                </c:pt>
                <c:pt idx="22">
                  <c:v>1634.1184790295381</c:v>
                </c:pt>
                <c:pt idx="23">
                  <c:v>1633.5090745368643</c:v>
                </c:pt>
                <c:pt idx="24">
                  <c:v>1637.8889876893554</c:v>
                </c:pt>
                <c:pt idx="25">
                  <c:v>1876.512608803994</c:v>
                </c:pt>
                <c:pt idx="26">
                  <c:v>1752.2591310827938</c:v>
                </c:pt>
                <c:pt idx="27">
                  <c:v>1677.2766074085719</c:v>
                </c:pt>
              </c:numCache>
            </c:numRef>
          </c:val>
          <c:smooth val="0"/>
          <c:extLst xmlns:c16r2="http://schemas.microsoft.com/office/drawing/2015/06/chart">
            <c:ext xmlns:c16="http://schemas.microsoft.com/office/drawing/2014/chart" uri="{C3380CC4-5D6E-409C-BE32-E72D297353CC}">
              <c16:uniqueId val="{00000008-0C3A-4D6F-B862-5251B5A2CDD5}"/>
            </c:ext>
          </c:extLst>
        </c:ser>
        <c:dLbls>
          <c:showLegendKey val="0"/>
          <c:showVal val="0"/>
          <c:showCatName val="0"/>
          <c:showSerName val="0"/>
          <c:showPercent val="0"/>
          <c:showBubbleSize val="0"/>
        </c:dLbls>
        <c:smooth val="0"/>
        <c:axId val="187200096"/>
        <c:axId val="246303136"/>
      </c:lineChart>
      <c:dateAx>
        <c:axId val="187200096"/>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303136"/>
        <c:crosses val="autoZero"/>
        <c:auto val="0"/>
        <c:lblOffset val="100"/>
        <c:baseTimeUnit val="years"/>
        <c:majorUnit val="4"/>
        <c:majorTimeUnit val="years"/>
      </c:dateAx>
      <c:valAx>
        <c:axId val="24630313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t>
                </a:r>
                <a:r>
                  <a:rPr lang="en-US" baseline="0"/>
                  <a:t> million</a:t>
                </a:r>
                <a:endParaRPr lang="en-US"/>
              </a:p>
            </c:rich>
          </c:tx>
          <c:layout>
            <c:manualLayout>
              <c:xMode val="edge"/>
              <c:yMode val="edge"/>
              <c:x val="0"/>
              <c:y val="0.3939636191309419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200096"/>
        <c:crosses val="autoZero"/>
        <c:crossBetween val="between"/>
      </c:valAx>
      <c:spPr>
        <a:noFill/>
        <a:ln>
          <a:noFill/>
        </a:ln>
        <a:effectLst/>
      </c:spPr>
    </c:plotArea>
    <c:legend>
      <c:legendPos val="b"/>
      <c:layout>
        <c:manualLayout>
          <c:xMode val="edge"/>
          <c:yMode val="edge"/>
          <c:x val="0.12502602799650042"/>
          <c:y val="9.9471420239136757E-2"/>
          <c:w val="0.87217016622922139"/>
          <c:h val="0.2708989501312336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Percentage</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059295713035871"/>
          <c:y val="0.13912037037037034"/>
          <c:w val="0.78774037620297477"/>
          <c:h val="0.53878937007874028"/>
        </c:manualLayout>
      </c:layout>
      <c:barChart>
        <c:barDir val="col"/>
        <c:grouping val="stacked"/>
        <c:varyColors val="0"/>
        <c:ser>
          <c:idx val="0"/>
          <c:order val="0"/>
          <c:tx>
            <c:strRef>
              <c:f>'Real per person (Core)'!$A$54</c:f>
              <c:strCache>
                <c:ptCount val="1"/>
                <c:pt idx="0">
                  <c:v> Core govt services </c:v>
                </c:pt>
              </c:strCache>
            </c:strRef>
          </c:tx>
          <c:spPr>
            <a:solidFill>
              <a:schemeClr val="bg1">
                <a:lumMod val="85000"/>
              </a:schemeClr>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(Core)'!$B$54:$Y$54</c:f>
              <c:numCache>
                <c:formatCode>0.0%</c:formatCode>
                <c:ptCount val="24"/>
                <c:pt idx="0">
                  <c:v>4.6581182983868388E-2</c:v>
                </c:pt>
                <c:pt idx="1">
                  <c:v>5.8132865481291547E-2</c:v>
                </c:pt>
                <c:pt idx="2">
                  <c:v>4.4078947368421051E-2</c:v>
                </c:pt>
                <c:pt idx="3">
                  <c:v>4.930220836089845E-2</c:v>
                </c:pt>
                <c:pt idx="4">
                  <c:v>5.0587199951446005E-2</c:v>
                </c:pt>
                <c:pt idx="5">
                  <c:v>4.5657829353132028E-2</c:v>
                </c:pt>
                <c:pt idx="6">
                  <c:v>4.7592463363572916E-2</c:v>
                </c:pt>
                <c:pt idx="7">
                  <c:v>4.7275441652152271E-2</c:v>
                </c:pt>
                <c:pt idx="8">
                  <c:v>4.8993160576582477E-2</c:v>
                </c:pt>
                <c:pt idx="9">
                  <c:v>4.055833552804846E-2</c:v>
                </c:pt>
                <c:pt idx="10">
                  <c:v>5.3387472742311454E-2</c:v>
                </c:pt>
                <c:pt idx="11">
                  <c:v>4.9925982522324622E-2</c:v>
                </c:pt>
                <c:pt idx="12">
                  <c:v>5.7177859449827374E-2</c:v>
                </c:pt>
                <c:pt idx="13">
                  <c:v>5.0831305758313045E-2</c:v>
                </c:pt>
                <c:pt idx="14">
                  <c:v>8.9180230727922527E-2</c:v>
                </c:pt>
                <c:pt idx="15">
                  <c:v>5.9143463691071464E-2</c:v>
                </c:pt>
                <c:pt idx="16">
                  <c:v>8.2700540608106013E-2</c:v>
                </c:pt>
                <c:pt idx="17">
                  <c:v>4.6459312952056603E-2</c:v>
                </c:pt>
                <c:pt idx="18">
                  <c:v>7.8963804116394615E-2</c:v>
                </c:pt>
                <c:pt idx="19">
                  <c:v>7.8580114656320574E-2</c:v>
                </c:pt>
                <c:pt idx="20">
                  <c:v>6.1075868346940523E-2</c:v>
                </c:pt>
                <c:pt idx="21">
                  <c:v>6.2994109169266913E-2</c:v>
                </c:pt>
                <c:pt idx="22">
                  <c:v>5.7128643091082461E-2</c:v>
                </c:pt>
                <c:pt idx="23">
                  <c:v>5.5485668682113923E-2</c:v>
                </c:pt>
              </c:numCache>
            </c:numRef>
          </c:val>
          <c:extLst xmlns:c16r2="http://schemas.microsoft.com/office/drawing/2015/06/chart">
            <c:ext xmlns:c16="http://schemas.microsoft.com/office/drawing/2014/chart" uri="{C3380CC4-5D6E-409C-BE32-E72D297353CC}">
              <c16:uniqueId val="{00000000-F4C3-4E24-929B-F8B99F5FBB47}"/>
            </c:ext>
          </c:extLst>
        </c:ser>
        <c:ser>
          <c:idx val="1"/>
          <c:order val="1"/>
          <c:tx>
            <c:strRef>
              <c:f>'Real per person (Core)'!$A$55</c:f>
              <c:strCache>
                <c:ptCount val="1"/>
                <c:pt idx="0">
                  <c:v> Defence </c:v>
                </c:pt>
              </c:strCache>
            </c:strRef>
          </c:tx>
          <c:spPr>
            <a:solidFill>
              <a:srgbClr val="00B0F0"/>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(Core)'!$B$55:$Y$55</c:f>
              <c:numCache>
                <c:formatCode>0.0%</c:formatCode>
                <c:ptCount val="24"/>
                <c:pt idx="0">
                  <c:v>3.7322218333386351E-2</c:v>
                </c:pt>
                <c:pt idx="1">
                  <c:v>3.5392557103815919E-2</c:v>
                </c:pt>
                <c:pt idx="2">
                  <c:v>3.3322368421052628E-2</c:v>
                </c:pt>
                <c:pt idx="3">
                  <c:v>3.0557918281195851E-2</c:v>
                </c:pt>
                <c:pt idx="4">
                  <c:v>2.8707553181804384E-2</c:v>
                </c:pt>
                <c:pt idx="5">
                  <c:v>3.1130338195317298E-2</c:v>
                </c:pt>
                <c:pt idx="6">
                  <c:v>2.8750872295882759E-2</c:v>
                </c:pt>
                <c:pt idx="7">
                  <c:v>3.4475132011832679E-2</c:v>
                </c:pt>
                <c:pt idx="8">
                  <c:v>3.3842884002288888E-2</c:v>
                </c:pt>
                <c:pt idx="9">
                  <c:v>3.0603107716618384E-2</c:v>
                </c:pt>
                <c:pt idx="10">
                  <c:v>3.0052384891094564E-2</c:v>
                </c:pt>
                <c:pt idx="11">
                  <c:v>3.1302230074972535E-2</c:v>
                </c:pt>
                <c:pt idx="12">
                  <c:v>2.8399599064483791E-2</c:v>
                </c:pt>
                <c:pt idx="13">
                  <c:v>2.8041362530413626E-2</c:v>
                </c:pt>
                <c:pt idx="14">
                  <c:v>2.8091031979704834E-2</c:v>
                </c:pt>
                <c:pt idx="15">
                  <c:v>2.7404951137779181E-2</c:v>
                </c:pt>
                <c:pt idx="16">
                  <c:v>2.7452267116652607E-2</c:v>
                </c:pt>
                <c:pt idx="17">
                  <c:v>2.8337993845000232E-2</c:v>
                </c:pt>
                <c:pt idx="18">
                  <c:v>2.5677785663591204E-2</c:v>
                </c:pt>
                <c:pt idx="19">
                  <c:v>2.513173895419538E-2</c:v>
                </c:pt>
                <c:pt idx="20">
                  <c:v>2.5659260945011801E-2</c:v>
                </c:pt>
                <c:pt idx="21">
                  <c:v>2.5340366882617146E-2</c:v>
                </c:pt>
                <c:pt idx="22">
                  <c:v>2.7099484543205786E-2</c:v>
                </c:pt>
                <c:pt idx="23">
                  <c:v>2.740467205021033E-2</c:v>
                </c:pt>
              </c:numCache>
            </c:numRef>
          </c:val>
          <c:extLst xmlns:c16r2="http://schemas.microsoft.com/office/drawing/2015/06/chart">
            <c:ext xmlns:c16="http://schemas.microsoft.com/office/drawing/2014/chart" uri="{C3380CC4-5D6E-409C-BE32-E72D297353CC}">
              <c16:uniqueId val="{00000001-F4C3-4E24-929B-F8B99F5FBB47}"/>
            </c:ext>
          </c:extLst>
        </c:ser>
        <c:ser>
          <c:idx val="2"/>
          <c:order val="2"/>
          <c:tx>
            <c:strRef>
              <c:f>'Real per person (Core)'!$A$56</c:f>
              <c:strCache>
                <c:ptCount val="1"/>
                <c:pt idx="0">
                  <c:v> Education </c:v>
                </c:pt>
              </c:strCache>
            </c:strRef>
          </c:tx>
          <c:spPr>
            <a:solidFill>
              <a:schemeClr val="tx1">
                <a:lumMod val="95000"/>
                <a:lumOff val="5000"/>
              </a:schemeClr>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(Core)'!$B$56:$Y$56</c:f>
              <c:numCache>
                <c:formatCode>0.0%</c:formatCode>
                <c:ptCount val="24"/>
                <c:pt idx="0">
                  <c:v>0.14442075789875591</c:v>
                </c:pt>
                <c:pt idx="1">
                  <c:v>0.1561118796180708</c:v>
                </c:pt>
                <c:pt idx="2">
                  <c:v>0.15799342105263156</c:v>
                </c:pt>
                <c:pt idx="3">
                  <c:v>0.15590838925117348</c:v>
                </c:pt>
                <c:pt idx="4">
                  <c:v>0.16189724759505963</c:v>
                </c:pt>
                <c:pt idx="5">
                  <c:v>0.1670223027681155</c:v>
                </c:pt>
                <c:pt idx="6">
                  <c:v>0.16466154919748777</c:v>
                </c:pt>
                <c:pt idx="7">
                  <c:v>0.17444914434215256</c:v>
                </c:pt>
                <c:pt idx="8">
                  <c:v>0.16719801629472192</c:v>
                </c:pt>
                <c:pt idx="9">
                  <c:v>0.17047669212536215</c:v>
                </c:pt>
                <c:pt idx="10">
                  <c:v>0.1758528210141114</c:v>
                </c:pt>
                <c:pt idx="11">
                  <c:v>0.18110405424764814</c:v>
                </c:pt>
                <c:pt idx="12">
                  <c:v>0.17663436908341687</c:v>
                </c:pt>
                <c:pt idx="13">
                  <c:v>0.20101378751013785</c:v>
                </c:pt>
                <c:pt idx="14">
                  <c:v>0.17163861266966651</c:v>
                </c:pt>
                <c:pt idx="15">
                  <c:v>0.16757022299419269</c:v>
                </c:pt>
                <c:pt idx="16">
                  <c:v>0.17897878191306521</c:v>
                </c:pt>
                <c:pt idx="17">
                  <c:v>0.18315029759580087</c:v>
                </c:pt>
                <c:pt idx="18">
                  <c:v>0.16536550745209372</c:v>
                </c:pt>
                <c:pt idx="19">
                  <c:v>0.16871272221900513</c:v>
                </c:pt>
                <c:pt idx="20">
                  <c:v>0.17785110801354082</c:v>
                </c:pt>
                <c:pt idx="21">
                  <c:v>0.17210740621545606</c:v>
                </c:pt>
                <c:pt idx="22">
                  <c:v>0.17797769578375688</c:v>
                </c:pt>
                <c:pt idx="23">
                  <c:v>0.1779815769183947</c:v>
                </c:pt>
              </c:numCache>
            </c:numRef>
          </c:val>
          <c:extLst xmlns:c16r2="http://schemas.microsoft.com/office/drawing/2015/06/chart">
            <c:ext xmlns:c16="http://schemas.microsoft.com/office/drawing/2014/chart" uri="{C3380CC4-5D6E-409C-BE32-E72D297353CC}">
              <c16:uniqueId val="{00000002-F4C3-4E24-929B-F8B99F5FBB47}"/>
            </c:ext>
          </c:extLst>
        </c:ser>
        <c:ser>
          <c:idx val="3"/>
          <c:order val="3"/>
          <c:tx>
            <c:strRef>
              <c:f>'Real per person (Core)'!$A$57</c:f>
              <c:strCache>
                <c:ptCount val="1"/>
                <c:pt idx="0">
                  <c:v> Finance costs </c:v>
                </c:pt>
              </c:strCache>
            </c:strRef>
          </c:tx>
          <c:spPr>
            <a:solidFill>
              <a:srgbClr val="FF0000"/>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(Core)'!$B$57:$Y$57</c:f>
              <c:numCache>
                <c:formatCode>0.0%</c:formatCode>
                <c:ptCount val="24"/>
                <c:pt idx="0">
                  <c:v>0.12603009958955103</c:v>
                </c:pt>
                <c:pt idx="1">
                  <c:v>0.12780458180100546</c:v>
                </c:pt>
                <c:pt idx="2">
                  <c:v>0.12358552631578944</c:v>
                </c:pt>
                <c:pt idx="3">
                  <c:v>0.1166556406136786</c:v>
                </c:pt>
                <c:pt idx="4">
                  <c:v>9.322368221406245E-2</c:v>
                </c:pt>
                <c:pt idx="5">
                  <c:v>8.1961942065417542E-2</c:v>
                </c:pt>
                <c:pt idx="6">
                  <c:v>7.0230286113049545E-2</c:v>
                </c:pt>
                <c:pt idx="7">
                  <c:v>6.5605042713776221E-2</c:v>
                </c:pt>
                <c:pt idx="8">
                  <c:v>6.2781002207144609E-2</c:v>
                </c:pt>
                <c:pt idx="9">
                  <c:v>5.5780879641822489E-2</c:v>
                </c:pt>
                <c:pt idx="10">
                  <c:v>5.9152317216833346E-2</c:v>
                </c:pt>
                <c:pt idx="11">
                  <c:v>5.3770116040303705E-2</c:v>
                </c:pt>
                <c:pt idx="12">
                  <c:v>5.0651520213832263E-2</c:v>
                </c:pt>
                <c:pt idx="13">
                  <c:v>4.7769667477696669E-2</c:v>
                </c:pt>
                <c:pt idx="14">
                  <c:v>4.3127233672203405E-2</c:v>
                </c:pt>
                <c:pt idx="15">
                  <c:v>4.3160166324543392E-2</c:v>
                </c:pt>
                <c:pt idx="16">
                  <c:v>3.7951939001906194E-2</c:v>
                </c:pt>
                <c:pt idx="17">
                  <c:v>3.6102041772764909E-2</c:v>
                </c:pt>
                <c:pt idx="18">
                  <c:v>4.352022711142655E-2</c:v>
                </c:pt>
                <c:pt idx="19">
                  <c:v>5.0828073426370947E-2</c:v>
                </c:pt>
                <c:pt idx="20">
                  <c:v>5.1474980798224899E-2</c:v>
                </c:pt>
                <c:pt idx="21">
                  <c:v>5.0652748821134214E-2</c:v>
                </c:pt>
                <c:pt idx="22">
                  <c:v>5.2278097922971688E-2</c:v>
                </c:pt>
                <c:pt idx="23">
                  <c:v>4.8560104965575078E-2</c:v>
                </c:pt>
              </c:numCache>
            </c:numRef>
          </c:val>
          <c:extLst xmlns:c16r2="http://schemas.microsoft.com/office/drawing/2015/06/chart">
            <c:ext xmlns:c16="http://schemas.microsoft.com/office/drawing/2014/chart" uri="{C3380CC4-5D6E-409C-BE32-E72D297353CC}">
              <c16:uniqueId val="{00000003-F4C3-4E24-929B-F8B99F5FBB47}"/>
            </c:ext>
          </c:extLst>
        </c:ser>
        <c:ser>
          <c:idx val="4"/>
          <c:order val="4"/>
          <c:tx>
            <c:strRef>
              <c:f>'Real per person (Core)'!$A$58</c:f>
              <c:strCache>
                <c:ptCount val="1"/>
                <c:pt idx="0">
                  <c:v> Health </c:v>
                </c:pt>
              </c:strCache>
            </c:strRef>
          </c:tx>
          <c:spPr>
            <a:solidFill>
              <a:srgbClr val="92D050"/>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(Core)'!$B$58:$Y$58</c:f>
              <c:numCache>
                <c:formatCode>0.0%</c:formatCode>
                <c:ptCount val="24"/>
                <c:pt idx="0">
                  <c:v>0.13261637341308982</c:v>
                </c:pt>
                <c:pt idx="1">
                  <c:v>0.15526839636964812</c:v>
                </c:pt>
                <c:pt idx="2">
                  <c:v>0.1607236842105263</c:v>
                </c:pt>
                <c:pt idx="3">
                  <c:v>0.16469772863308446</c:v>
                </c:pt>
                <c:pt idx="4">
                  <c:v>0.17072800655479015</c:v>
                </c:pt>
                <c:pt idx="5">
                  <c:v>0.17541141738037475</c:v>
                </c:pt>
                <c:pt idx="6">
                  <c:v>0.18347522679692951</c:v>
                </c:pt>
                <c:pt idx="7">
                  <c:v>0.19004174615023084</c:v>
                </c:pt>
                <c:pt idx="8">
                  <c:v>0.18147633450502737</c:v>
                </c:pt>
                <c:pt idx="9">
                  <c:v>0.18519884119041347</c:v>
                </c:pt>
                <c:pt idx="10">
                  <c:v>0.18800912349299448</c:v>
                </c:pt>
                <c:pt idx="11">
                  <c:v>0.19366314884675997</c:v>
                </c:pt>
                <c:pt idx="12">
                  <c:v>0.19630248357278093</c:v>
                </c:pt>
                <c:pt idx="13">
                  <c:v>0.19357258718572587</c:v>
                </c:pt>
                <c:pt idx="14">
                  <c:v>0.19174860655889489</c:v>
                </c:pt>
                <c:pt idx="15">
                  <c:v>0.19820341421478324</c:v>
                </c:pt>
                <c:pt idx="16">
                  <c:v>0.19324396112621484</c:v>
                </c:pt>
                <c:pt idx="17">
                  <c:v>0.20508334244606563</c:v>
                </c:pt>
                <c:pt idx="18">
                  <c:v>0.19521646557842445</c:v>
                </c:pt>
                <c:pt idx="19">
                  <c:v>0.20499160345127102</c:v>
                </c:pt>
                <c:pt idx="20">
                  <c:v>0.20621284100930218</c:v>
                </c:pt>
                <c:pt idx="21">
                  <c:v>0.20845984860145239</c:v>
                </c:pt>
                <c:pt idx="22">
                  <c:v>0.20808976963365258</c:v>
                </c:pt>
                <c:pt idx="23">
                  <c:v>0.21136495827077328</c:v>
                </c:pt>
              </c:numCache>
            </c:numRef>
          </c:val>
          <c:extLst xmlns:c16r2="http://schemas.microsoft.com/office/drawing/2015/06/chart">
            <c:ext xmlns:c16="http://schemas.microsoft.com/office/drawing/2014/chart" uri="{C3380CC4-5D6E-409C-BE32-E72D297353CC}">
              <c16:uniqueId val="{00000004-F4C3-4E24-929B-F8B99F5FBB47}"/>
            </c:ext>
          </c:extLst>
        </c:ser>
        <c:ser>
          <c:idx val="5"/>
          <c:order val="5"/>
          <c:tx>
            <c:strRef>
              <c:f>'Real per person (Core)'!$A$59</c:f>
              <c:strCache>
                <c:ptCount val="1"/>
                <c:pt idx="0">
                  <c:v> Law and order </c:v>
                </c:pt>
              </c:strCache>
            </c:strRef>
          </c:tx>
          <c:spPr>
            <a:solidFill>
              <a:schemeClr val="accent2">
                <a:lumMod val="60000"/>
                <a:lumOff val="40000"/>
              </a:schemeClr>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(Core)'!$B$59:$Y$59</c:f>
              <c:numCache>
                <c:formatCode>0.0%</c:formatCode>
                <c:ptCount val="24"/>
                <c:pt idx="0">
                  <c:v>3.3535906328550059E-2</c:v>
                </c:pt>
                <c:pt idx="1">
                  <c:v>3.8800229427443565E-2</c:v>
                </c:pt>
                <c:pt idx="2">
                  <c:v>3.9144736842105253E-2</c:v>
                </c:pt>
                <c:pt idx="3">
                  <c:v>3.8874712535047096E-2</c:v>
                </c:pt>
                <c:pt idx="4">
                  <c:v>3.8873547173246745E-2</c:v>
                </c:pt>
                <c:pt idx="5">
                  <c:v>3.9314840256057991E-2</c:v>
                </c:pt>
                <c:pt idx="6">
                  <c:v>4.1842288904396369E-2</c:v>
                </c:pt>
                <c:pt idx="7">
                  <c:v>4.2326725830084878E-2</c:v>
                </c:pt>
                <c:pt idx="8">
                  <c:v>4.1990244965802885E-2</c:v>
                </c:pt>
                <c:pt idx="9">
                  <c:v>4.564129575981038E-2</c:v>
                </c:pt>
                <c:pt idx="10">
                  <c:v>4.3461914429656356E-2</c:v>
                </c:pt>
                <c:pt idx="11">
                  <c:v>4.4004584308294729E-2</c:v>
                </c:pt>
                <c:pt idx="12">
                  <c:v>4.4036084196458394E-2</c:v>
                </c:pt>
                <c:pt idx="13">
                  <c:v>4.5316301703163017E-2</c:v>
                </c:pt>
                <c:pt idx="14">
                  <c:v>4.9978704886765549E-2</c:v>
                </c:pt>
                <c:pt idx="15">
                  <c:v>5.0774602172044138E-2</c:v>
                </c:pt>
                <c:pt idx="16">
                  <c:v>4.8264116746351678E-2</c:v>
                </c:pt>
                <c:pt idx="17">
                  <c:v>4.9849249371221475E-2</c:v>
                </c:pt>
                <c:pt idx="18">
                  <c:v>4.8005677785663607E-2</c:v>
                </c:pt>
                <c:pt idx="19">
                  <c:v>4.9264578145810409E-2</c:v>
                </c:pt>
                <c:pt idx="20">
                  <c:v>4.9156544249423943E-2</c:v>
                </c:pt>
                <c:pt idx="21">
                  <c:v>4.8987644647179807E-2</c:v>
                </c:pt>
                <c:pt idx="22">
                  <c:v>4.8574547766123577E-2</c:v>
                </c:pt>
                <c:pt idx="23">
                  <c:v>4.9344641480339235E-2</c:v>
                </c:pt>
              </c:numCache>
            </c:numRef>
          </c:val>
          <c:extLst xmlns:c16r2="http://schemas.microsoft.com/office/drawing/2015/06/chart">
            <c:ext xmlns:c16="http://schemas.microsoft.com/office/drawing/2014/chart" uri="{C3380CC4-5D6E-409C-BE32-E72D297353CC}">
              <c16:uniqueId val="{00000005-F4C3-4E24-929B-F8B99F5FBB47}"/>
            </c:ext>
          </c:extLst>
        </c:ser>
        <c:ser>
          <c:idx val="6"/>
          <c:order val="6"/>
          <c:tx>
            <c:strRef>
              <c:f>'Real per person (Core)'!$A$60</c:f>
              <c:strCache>
                <c:ptCount val="1"/>
                <c:pt idx="0">
                  <c:v> Welfare </c:v>
                </c:pt>
              </c:strCache>
            </c:strRef>
          </c:tx>
          <c:spPr>
            <a:solidFill>
              <a:srgbClr val="0070C0"/>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(Core)'!$B$60:$Y$60</c:f>
              <c:numCache>
                <c:formatCode>0.0%</c:formatCode>
                <c:ptCount val="24"/>
                <c:pt idx="0">
                  <c:v>0.21985906881695208</c:v>
                </c:pt>
                <c:pt idx="1">
                  <c:v>0.2201519601032057</c:v>
                </c:pt>
                <c:pt idx="2">
                  <c:v>0.22332072040611911</c:v>
                </c:pt>
                <c:pt idx="3">
                  <c:v>0.22745513792491123</c:v>
                </c:pt>
                <c:pt idx="4">
                  <c:v>0.22861300638279883</c:v>
                </c:pt>
                <c:pt idx="5">
                  <c:v>0.2163923884130835</c:v>
                </c:pt>
                <c:pt idx="6">
                  <c:v>0.21870202372644798</c:v>
                </c:pt>
                <c:pt idx="7">
                  <c:v>0.21641646622985267</c:v>
                </c:pt>
                <c:pt idx="8">
                  <c:v>0.2161911768713044</c:v>
                </c:pt>
                <c:pt idx="9">
                  <c:v>0.21161443244666836</c:v>
                </c:pt>
                <c:pt idx="10">
                  <c:v>0.20715843296488454</c:v>
                </c:pt>
                <c:pt idx="11">
                  <c:v>0.1996800534835968</c:v>
                </c:pt>
                <c:pt idx="12">
                  <c:v>0.19153580576901658</c:v>
                </c:pt>
                <c:pt idx="13">
                  <c:v>0.18621248986212488</c:v>
                </c:pt>
                <c:pt idx="14">
                  <c:v>0.18439716312056739</c:v>
                </c:pt>
                <c:pt idx="15">
                  <c:v>0.18472902082565751</c:v>
                </c:pt>
                <c:pt idx="16">
                  <c:v>0.18183806756038876</c:v>
                </c:pt>
                <c:pt idx="17">
                  <c:v>0.20144345679783793</c:v>
                </c:pt>
                <c:pt idx="18">
                  <c:v>0.18701206529453515</c:v>
                </c:pt>
                <c:pt idx="19">
                  <c:v>0.18014940066014243</c:v>
                </c:pt>
                <c:pt idx="20">
                  <c:v>0.17787955508775921</c:v>
                </c:pt>
                <c:pt idx="21">
                  <c:v>0.17305889431485855</c:v>
                </c:pt>
                <c:pt idx="22">
                  <c:v>0.16489089728176001</c:v>
                </c:pt>
                <c:pt idx="23">
                  <c:v>0.15980197216248021</c:v>
                </c:pt>
              </c:numCache>
            </c:numRef>
          </c:val>
          <c:extLst xmlns:c16r2="http://schemas.microsoft.com/office/drawing/2015/06/chart">
            <c:ext xmlns:c16="http://schemas.microsoft.com/office/drawing/2014/chart" uri="{C3380CC4-5D6E-409C-BE32-E72D297353CC}">
              <c16:uniqueId val="{00000006-F4C3-4E24-929B-F8B99F5FBB47}"/>
            </c:ext>
          </c:extLst>
        </c:ser>
        <c:ser>
          <c:idx val="7"/>
          <c:order val="7"/>
          <c:tx>
            <c:strRef>
              <c:f>'Real per person (Core)'!$A$61</c:f>
              <c:strCache>
                <c:ptCount val="1"/>
                <c:pt idx="0">
                  <c:v> NZ super </c:v>
                </c:pt>
              </c:strCache>
            </c:strRef>
          </c:tx>
          <c:spPr>
            <a:solidFill>
              <a:schemeClr val="accent1">
                <a:lumMod val="20000"/>
                <a:lumOff val="80000"/>
              </a:schemeClr>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(Core)'!$B$61:$Y$61</c:f>
              <c:numCache>
                <c:formatCode>0.0%</c:formatCode>
                <c:ptCount val="24"/>
                <c:pt idx="0">
                  <c:v>0.16421296656438353</c:v>
                </c:pt>
                <c:pt idx="1">
                  <c:v>0.16714180824255492</c:v>
                </c:pt>
                <c:pt idx="2">
                  <c:v>0.16233717433072295</c:v>
                </c:pt>
                <c:pt idx="3">
                  <c:v>0.15814168657182817</c:v>
                </c:pt>
                <c:pt idx="4">
                  <c:v>0.15435667771273112</c:v>
                </c:pt>
                <c:pt idx="5">
                  <c:v>0.14925024115050714</c:v>
                </c:pt>
                <c:pt idx="6">
                  <c:v>0.14154919748778785</c:v>
                </c:pt>
                <c:pt idx="7">
                  <c:v>0.14011224461585245</c:v>
                </c:pt>
                <c:pt idx="8">
                  <c:v>0.14368238916591736</c:v>
                </c:pt>
                <c:pt idx="9">
                  <c:v>0.14353436923887278</c:v>
                </c:pt>
                <c:pt idx="10">
                  <c:v>0.14141414141414141</c:v>
                </c:pt>
                <c:pt idx="11">
                  <c:v>0.14060933097750822</c:v>
                </c:pt>
                <c:pt idx="12">
                  <c:v>0.13549393028176854</c:v>
                </c:pt>
                <c:pt idx="13">
                  <c:v>0.1300486618004866</c:v>
                </c:pt>
                <c:pt idx="14">
                  <c:v>0.12610410532748181</c:v>
                </c:pt>
                <c:pt idx="15">
                  <c:v>0.12891906591574995</c:v>
                </c:pt>
                <c:pt idx="16">
                  <c:v>0.12099621886816038</c:v>
                </c:pt>
                <c:pt idx="17">
                  <c:v>0.1295049443081874</c:v>
                </c:pt>
                <c:pt idx="18">
                  <c:v>0.12533711852377574</c:v>
                </c:pt>
                <c:pt idx="19">
                  <c:v>0.13874572934159474</c:v>
                </c:pt>
                <c:pt idx="20">
                  <c:v>0.14557790231274712</c:v>
                </c:pt>
                <c:pt idx="21">
                  <c:v>0.15269984748205465</c:v>
                </c:pt>
                <c:pt idx="22">
                  <c:v>0.16017854428368089</c:v>
                </c:pt>
                <c:pt idx="23">
                  <c:v>0.16592947287262103</c:v>
                </c:pt>
              </c:numCache>
            </c:numRef>
          </c:val>
          <c:extLst xmlns:c16r2="http://schemas.microsoft.com/office/drawing/2015/06/chart">
            <c:ext xmlns:c16="http://schemas.microsoft.com/office/drawing/2014/chart" uri="{C3380CC4-5D6E-409C-BE32-E72D297353CC}">
              <c16:uniqueId val="{00000007-F4C3-4E24-929B-F8B99F5FBB47}"/>
            </c:ext>
          </c:extLst>
        </c:ser>
        <c:ser>
          <c:idx val="8"/>
          <c:order val="8"/>
          <c:tx>
            <c:strRef>
              <c:f>'Real per person (Core)'!$A$62</c:f>
              <c:strCache>
                <c:ptCount val="1"/>
                <c:pt idx="0">
                  <c:v> All other </c:v>
                </c:pt>
              </c:strCache>
            </c:strRef>
          </c:tx>
          <c:spPr>
            <a:solidFill>
              <a:schemeClr val="accent5">
                <a:lumMod val="75000"/>
              </a:schemeClr>
            </a:solidFill>
            <a:ln>
              <a:noFill/>
            </a:ln>
            <a:effectLst/>
          </c:spPr>
          <c:invertIfNegative val="0"/>
          <c:cat>
            <c:numRef>
              <c:f>'Real per person (Core)'!$B$32:$Y$32</c:f>
              <c:numCache>
                <c:formatCode>yyyy</c:formatCode>
                <c:ptCount val="24"/>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numCache>
            </c:numRef>
          </c:cat>
          <c:val>
            <c:numRef>
              <c:f>'Real per person (Core)'!$B$62:$Y$62</c:f>
              <c:numCache>
                <c:formatCode>0.0%</c:formatCode>
                <c:ptCount val="24"/>
                <c:pt idx="0">
                  <c:v>9.5421426071462631E-2</c:v>
                </c:pt>
                <c:pt idx="1">
                  <c:v>4.119572185296401E-2</c:v>
                </c:pt>
                <c:pt idx="2">
                  <c:v>5.5493421052631581E-2</c:v>
                </c:pt>
                <c:pt idx="3">
                  <c:v>5.8406577828182579E-2</c:v>
                </c:pt>
                <c:pt idx="4">
                  <c:v>7.3013079234060627E-2</c:v>
                </c:pt>
                <c:pt idx="5">
                  <c:v>9.3858700417994226E-2</c:v>
                </c:pt>
                <c:pt idx="6">
                  <c:v>0.10319609211444521</c:v>
                </c:pt>
                <c:pt idx="7">
                  <c:v>8.9298056454065425E-2</c:v>
                </c:pt>
                <c:pt idx="8">
                  <c:v>0.10384479141121011</c:v>
                </c:pt>
                <c:pt idx="9">
                  <c:v>0.11659204635238345</c:v>
                </c:pt>
                <c:pt idx="10">
                  <c:v>0.10151139183397248</c:v>
                </c:pt>
                <c:pt idx="11">
                  <c:v>0.10594049949859129</c:v>
                </c:pt>
                <c:pt idx="12">
                  <c:v>0.11976834836841518</c:v>
                </c:pt>
                <c:pt idx="13">
                  <c:v>0.11719383617193836</c:v>
                </c:pt>
                <c:pt idx="14">
                  <c:v>0.11573431105679315</c:v>
                </c:pt>
                <c:pt idx="15">
                  <c:v>0.1400950927241785</c:v>
                </c:pt>
                <c:pt idx="16">
                  <c:v>0.12857410705915442</c:v>
                </c:pt>
                <c:pt idx="17">
                  <c:v>0.12006936091106493</c:v>
                </c:pt>
                <c:pt idx="18">
                  <c:v>0.1309013484740951</c:v>
                </c:pt>
                <c:pt idx="19">
                  <c:v>0.10359603914528924</c:v>
                </c:pt>
                <c:pt idx="20">
                  <c:v>0.10511193923704946</c:v>
                </c:pt>
                <c:pt idx="21">
                  <c:v>0.10569913386598008</c:v>
                </c:pt>
                <c:pt idx="22">
                  <c:v>0.10378231969376615</c:v>
                </c:pt>
                <c:pt idx="23">
                  <c:v>0.10412693259749219</c:v>
                </c:pt>
              </c:numCache>
            </c:numRef>
          </c:val>
          <c:extLst xmlns:c16r2="http://schemas.microsoft.com/office/drawing/2015/06/chart">
            <c:ext xmlns:c16="http://schemas.microsoft.com/office/drawing/2014/chart" uri="{C3380CC4-5D6E-409C-BE32-E72D297353CC}">
              <c16:uniqueId val="{00000008-F4C3-4E24-929B-F8B99F5FBB47}"/>
            </c:ext>
          </c:extLst>
        </c:ser>
        <c:dLbls>
          <c:showLegendKey val="0"/>
          <c:showVal val="0"/>
          <c:showCatName val="0"/>
          <c:showSerName val="0"/>
          <c:showPercent val="0"/>
          <c:showBubbleSize val="0"/>
        </c:dLbls>
        <c:gapWidth val="0"/>
        <c:overlap val="100"/>
        <c:axId val="246034184"/>
        <c:axId val="246034576"/>
      </c:barChart>
      <c:dateAx>
        <c:axId val="246034184"/>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46034576"/>
        <c:crosses val="autoZero"/>
        <c:auto val="0"/>
        <c:lblOffset val="100"/>
        <c:baseTimeUnit val="years"/>
        <c:majorUnit val="4"/>
        <c:majorTimeUnit val="years"/>
      </c:dateAx>
      <c:valAx>
        <c:axId val="2460345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46034184"/>
        <c:crosses val="autoZero"/>
        <c:crossBetween val="between"/>
      </c:valAx>
      <c:spPr>
        <a:noFill/>
        <a:ln>
          <a:noFill/>
        </a:ln>
        <a:effectLst/>
      </c:spPr>
    </c:plotArea>
    <c:legend>
      <c:legendPos val="b"/>
      <c:layout>
        <c:manualLayout>
          <c:xMode val="edge"/>
          <c:yMode val="edge"/>
          <c:x val="2.9150262467191601E-2"/>
          <c:y val="0.80511628754738995"/>
          <c:w val="0.94136964129483813"/>
          <c:h val="0.19488371245261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Weekly tax</a:t>
            </a:r>
            <a:r>
              <a:rPr lang="en-US" baseline="0"/>
              <a:t> bill for average taxpayer (real)</a:t>
            </a:r>
            <a:endParaRPr lang="en-US"/>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bg1">
                  <a:lumMod val="8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1F18-4FE8-9AB7-786A4CB498A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F18-4FE8-9AB7-786A4CB498AC}"/>
              </c:ext>
            </c:extLst>
          </c:dPt>
          <c:dPt>
            <c:idx val="2"/>
            <c:bubble3D val="0"/>
            <c:spPr>
              <a:solidFill>
                <a:schemeClr val="tx1">
                  <a:lumMod val="95000"/>
                  <a:lumOff val="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1F18-4FE8-9AB7-786A4CB498AC}"/>
              </c:ext>
            </c:extLst>
          </c:dPt>
          <c:dPt>
            <c:idx val="3"/>
            <c:bubble3D val="0"/>
            <c:spPr>
              <a:solidFill>
                <a:schemeClr val="accent4">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F18-4FE8-9AB7-786A4CB498AC}"/>
              </c:ext>
            </c:extLst>
          </c:dPt>
          <c:dPt>
            <c:idx val="4"/>
            <c:bubble3D val="0"/>
            <c:spPr>
              <a:solidFill>
                <a:schemeClr val="bg1">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1F18-4FE8-9AB7-786A4CB498AC}"/>
              </c:ext>
            </c:extLst>
          </c:dPt>
          <c:dPt>
            <c:idx val="5"/>
            <c:bubble3D val="0"/>
            <c:spPr>
              <a:solidFill>
                <a:schemeClr val="accent1">
                  <a:lumMod val="20000"/>
                  <a:lumOff val="8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1F18-4FE8-9AB7-786A4CB498AC}"/>
              </c:ext>
            </c:extLst>
          </c:dPt>
          <c:dPt>
            <c:idx val="6"/>
            <c:bubble3D val="0"/>
            <c:spPr>
              <a:solidFill>
                <a:schemeClr val="tx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F18-4FE8-9AB7-786A4CB498AC}"/>
              </c:ext>
            </c:extLst>
          </c:dPt>
          <c:dPt>
            <c:idx val="7"/>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F-1F18-4FE8-9AB7-786A4CB498AC}"/>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93DF-415C-BA05-38B6C1DD08A5}"/>
              </c:ext>
            </c:extLst>
          </c:dPt>
          <c:dLbls>
            <c:dLbl>
              <c:idx val="0"/>
              <c:layout>
                <c:manualLayout>
                  <c:x val="0.14223512685914264"/>
                  <c:y val="2.307432925051036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1F18-4FE8-9AB7-786A4CB498AC}"/>
                </c:ext>
                <c:ext xmlns:c15="http://schemas.microsoft.com/office/drawing/2012/chart" uri="{CE6537A1-D6FC-4f65-9D91-7224C49458BB}">
                  <c15:layout>
                    <c:manualLayout>
                      <c:w val="0.42479155730533685"/>
                      <c:h val="0.12638888888888888"/>
                    </c:manualLayout>
                  </c15:layout>
                </c:ext>
              </c:extLst>
            </c:dLbl>
            <c:dLbl>
              <c:idx val="1"/>
              <c:layout>
                <c:manualLayout>
                  <c:x val="0.16789501312335936"/>
                  <c:y val="0.14651192038495187"/>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1F18-4FE8-9AB7-786A4CB498AC}"/>
                </c:ext>
                <c:ext xmlns:c15="http://schemas.microsoft.com/office/drawing/2012/chart" uri="{CE6537A1-D6FC-4f65-9D91-7224C49458BB}">
                  <c15:layout>
                    <c:manualLayout>
                      <c:w val="0.25423468941382327"/>
                      <c:h val="0.13564814814814813"/>
                    </c:manualLayout>
                  </c15:layout>
                </c:ext>
              </c:extLst>
            </c:dLbl>
            <c:dLbl>
              <c:idx val="2"/>
              <c:layout>
                <c:manualLayout>
                  <c:x val="1.6666666666666666E-2"/>
                  <c:y val="0.12267169728783903"/>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1F18-4FE8-9AB7-786A4CB498AC}"/>
                </c:ext>
                <c:ext xmlns:c15="http://schemas.microsoft.com/office/drawing/2012/chart" uri="{CE6537A1-D6FC-4f65-9D91-7224C49458BB}">
                  <c15:layout>
                    <c:manualLayout>
                      <c:w val="0.27916666666666667"/>
                      <c:h val="0.15393518518518517"/>
                    </c:manualLayout>
                  </c15:layout>
                </c:ext>
              </c:extLst>
            </c:dLbl>
            <c:dLbl>
              <c:idx val="3"/>
              <c:layout>
                <c:manualLayout>
                  <c:x val="0.1243672353455816"/>
                  <c:y val="4.075714494021580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1F18-4FE8-9AB7-786A4CB498AC}"/>
                </c:ext>
                <c:ext xmlns:c15="http://schemas.microsoft.com/office/drawing/2012/chart" uri="{CE6537A1-D6FC-4f65-9D91-7224C49458BB}">
                  <c15:layout/>
                </c:ext>
              </c:extLst>
            </c:dLbl>
            <c:dLbl>
              <c:idx val="4"/>
              <c:layout>
                <c:manualLayout>
                  <c:x val="3.8888888888888938E-2"/>
                  <c:y val="0"/>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9-1F18-4FE8-9AB7-786A4CB498AC}"/>
                </c:ext>
                <c:ext xmlns:c15="http://schemas.microsoft.com/office/drawing/2012/chart" uri="{CE6537A1-D6FC-4f65-9D91-7224C49458BB}">
                  <c15:layout>
                    <c:manualLayout>
                      <c:w val="0.37777777777777777"/>
                      <c:h val="9.8379629629629636E-2"/>
                    </c:manualLayout>
                  </c15:layout>
                </c:ext>
              </c:extLst>
            </c:dLbl>
            <c:dLbl>
              <c:idx val="5"/>
              <c:layout>
                <c:manualLayout>
                  <c:x val="-3.3333333333333333E-2"/>
                  <c:y val="8.879775444736083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B-1F18-4FE8-9AB7-786A4CB498AC}"/>
                </c:ext>
                <c:ext xmlns:c15="http://schemas.microsoft.com/office/drawing/2012/chart" uri="{CE6537A1-D6FC-4f65-9D91-7224C49458BB}">
                  <c15:layout>
                    <c:manualLayout>
                      <c:w val="0.29375000000000001"/>
                      <c:h val="0.19675925925925927"/>
                    </c:manualLayout>
                  </c15:layout>
                </c:ext>
              </c:extLst>
            </c:dLbl>
            <c:dLbl>
              <c:idx val="6"/>
              <c:layout>
                <c:manualLayout>
                  <c:x val="-0.17446456692913387"/>
                  <c:y val="-7.032990667833195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D-1F18-4FE8-9AB7-786A4CB498AC}"/>
                </c:ext>
                <c:ext xmlns:c15="http://schemas.microsoft.com/office/drawing/2012/chart" uri="{CE6537A1-D6FC-4f65-9D91-7224C49458BB}">
                  <c15:layout/>
                </c:ext>
              </c:extLst>
            </c:dLbl>
            <c:dLbl>
              <c:idx val="7"/>
              <c:layout>
                <c:manualLayout>
                  <c:x val="-0.15156911636045495"/>
                  <c:y val="4.1123505395158896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F-1F18-4FE8-9AB7-786A4CB498AC}"/>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'Real per person (Core)'!$A$37:$A$45</c:f>
              <c:strCache>
                <c:ptCount val="9"/>
                <c:pt idx="0">
                  <c:v> Core govt services </c:v>
                </c:pt>
                <c:pt idx="1">
                  <c:v> Defence </c:v>
                </c:pt>
                <c:pt idx="2">
                  <c:v> Education </c:v>
                </c:pt>
                <c:pt idx="3">
                  <c:v> Finance costs </c:v>
                </c:pt>
                <c:pt idx="4">
                  <c:v> Health </c:v>
                </c:pt>
                <c:pt idx="5">
                  <c:v> Law and order </c:v>
                </c:pt>
                <c:pt idx="6">
                  <c:v> Welfare </c:v>
                </c:pt>
                <c:pt idx="7">
                  <c:v> NZ super </c:v>
                </c:pt>
                <c:pt idx="8">
                  <c:v> All other </c:v>
                </c:pt>
              </c:strCache>
            </c:strRef>
          </c:cat>
          <c:val>
            <c:numRef>
              <c:f>'Real per person (Core)'!$Y$37:$Y$45</c:f>
              <c:numCache>
                <c:formatCode>"$"#,##0.00</c:formatCode>
                <c:ptCount val="9"/>
                <c:pt idx="0">
                  <c:v>16.693373840055941</c:v>
                </c:pt>
                <c:pt idx="1">
                  <c:v>8.2449476840451794</c:v>
                </c:pt>
                <c:pt idx="2">
                  <c:v>53.54739468246126</c:v>
                </c:pt>
                <c:pt idx="3">
                  <c:v>14.609754287128432</c:v>
                </c:pt>
                <c:pt idx="4">
                  <c:v>63.591092058682129</c:v>
                </c:pt>
                <c:pt idx="5">
                  <c:v>14.845789314608499</c:v>
                </c:pt>
                <c:pt idx="6">
                  <c:v>48.077893356026543</c:v>
                </c:pt>
                <c:pt idx="7">
                  <c:v>49.921408312034671</c:v>
                </c:pt>
                <c:pt idx="8">
                  <c:v>31.327545543820239</c:v>
                </c:pt>
              </c:numCache>
            </c:numRef>
          </c:val>
          <c:extLst xmlns:c16r2="http://schemas.microsoft.com/office/drawing/2015/06/chart">
            <c:ext xmlns:c16="http://schemas.microsoft.com/office/drawing/2014/chart" uri="{C3380CC4-5D6E-409C-BE32-E72D297353CC}">
              <c16:uniqueId val="{0000000E-1F18-4FE8-9AB7-786A4CB498A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Real spending</a:t>
            </a:r>
            <a:r>
              <a:rPr lang="en-US" baseline="0"/>
              <a:t> per capita</a:t>
            </a:r>
          </a:p>
          <a:p>
            <a:pPr>
              <a:defRPr/>
            </a:pPr>
            <a:r>
              <a:rPr lang="en-US" sz="1050" baseline="0"/>
              <a:t>Per week</a:t>
            </a:r>
            <a:endParaRPr lang="en-US" sz="1050"/>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'Real per person (Core)'!$B$2:$AD$2</c:f>
              <c:numCache>
                <c:formatCode>yyyy</c:formatCode>
                <c:ptCount val="29"/>
                <c:pt idx="0">
                  <c:v>34121</c:v>
                </c:pt>
                <c:pt idx="1">
                  <c:v>34486</c:v>
                </c:pt>
                <c:pt idx="2">
                  <c:v>34851</c:v>
                </c:pt>
                <c:pt idx="3">
                  <c:v>35217</c:v>
                </c:pt>
                <c:pt idx="4">
                  <c:v>35582</c:v>
                </c:pt>
                <c:pt idx="5">
                  <c:v>35947</c:v>
                </c:pt>
                <c:pt idx="6">
                  <c:v>36312</c:v>
                </c:pt>
                <c:pt idx="7">
                  <c:v>36678</c:v>
                </c:pt>
                <c:pt idx="8">
                  <c:v>37043</c:v>
                </c:pt>
                <c:pt idx="9">
                  <c:v>37408</c:v>
                </c:pt>
                <c:pt idx="10">
                  <c:v>37773</c:v>
                </c:pt>
                <c:pt idx="11">
                  <c:v>38139</c:v>
                </c:pt>
                <c:pt idx="12">
                  <c:v>38504</c:v>
                </c:pt>
                <c:pt idx="13">
                  <c:v>38869</c:v>
                </c:pt>
                <c:pt idx="14">
                  <c:v>39234</c:v>
                </c:pt>
                <c:pt idx="15">
                  <c:v>39600</c:v>
                </c:pt>
                <c:pt idx="16">
                  <c:v>39965</c:v>
                </c:pt>
                <c:pt idx="17">
                  <c:v>40330</c:v>
                </c:pt>
                <c:pt idx="18">
                  <c:v>40695</c:v>
                </c:pt>
                <c:pt idx="19">
                  <c:v>41061</c:v>
                </c:pt>
                <c:pt idx="20">
                  <c:v>41426</c:v>
                </c:pt>
                <c:pt idx="21">
                  <c:v>41791</c:v>
                </c:pt>
                <c:pt idx="22">
                  <c:v>42156</c:v>
                </c:pt>
                <c:pt idx="23">
                  <c:v>42522</c:v>
                </c:pt>
                <c:pt idx="24">
                  <c:v>42887</c:v>
                </c:pt>
                <c:pt idx="25">
                  <c:v>43252</c:v>
                </c:pt>
                <c:pt idx="26">
                  <c:v>43617</c:v>
                </c:pt>
                <c:pt idx="27">
                  <c:v>43983</c:v>
                </c:pt>
                <c:pt idx="28">
                  <c:v>44348</c:v>
                </c:pt>
              </c:numCache>
            </c:numRef>
          </c:cat>
          <c:val>
            <c:numRef>
              <c:f>'Real per person (Core)'!$B$46:$AD$46</c:f>
              <c:numCache>
                <c:formatCode>"$"#,##0.00</c:formatCode>
                <c:ptCount val="29"/>
                <c:pt idx="0">
                  <c:v>268.83260955974492</c:v>
                </c:pt>
                <c:pt idx="1">
                  <c:v>247.46764389226777</c:v>
                </c:pt>
                <c:pt idx="2">
                  <c:v>239.17358986973321</c:v>
                </c:pt>
                <c:pt idx="3">
                  <c:v>240.99832427527664</c:v>
                </c:pt>
                <c:pt idx="4">
                  <c:v>244.18699280402822</c:v>
                </c:pt>
                <c:pt idx="5">
                  <c:v>247.16163962249527</c:v>
                </c:pt>
                <c:pt idx="6">
                  <c:v>258.4044801108987</c:v>
                </c:pt>
                <c:pt idx="7">
                  <c:v>254.28598514872647</c:v>
                </c:pt>
                <c:pt idx="8">
                  <c:v>248.44410930684822</c:v>
                </c:pt>
                <c:pt idx="9">
                  <c:v>245.85085681646837</c:v>
                </c:pt>
                <c:pt idx="10">
                  <c:v>249.58888142942888</c:v>
                </c:pt>
                <c:pt idx="11">
                  <c:v>252.17026085790101</c:v>
                </c:pt>
                <c:pt idx="12">
                  <c:v>259.87871304159393</c:v>
                </c:pt>
                <c:pt idx="13">
                  <c:v>271.23895864942352</c:v>
                </c:pt>
                <c:pt idx="14">
                  <c:v>288.46575546345991</c:v>
                </c:pt>
                <c:pt idx="15">
                  <c:v>290.22750377733684</c:v>
                </c:pt>
                <c:pt idx="16">
                  <c:v>316.68241808359249</c:v>
                </c:pt>
                <c:pt idx="17">
                  <c:v>308.10618042621616</c:v>
                </c:pt>
                <c:pt idx="18">
                  <c:v>319.64368544474371</c:v>
                </c:pt>
                <c:pt idx="19">
                  <c:v>308.76693544961614</c:v>
                </c:pt>
                <c:pt idx="20">
                  <c:v>309.7296640212536</c:v>
                </c:pt>
                <c:pt idx="21">
                  <c:v>305.19472429374611</c:v>
                </c:pt>
                <c:pt idx="22">
                  <c:v>301.9708254367078</c:v>
                </c:pt>
                <c:pt idx="23">
                  <c:v>300.8591990788629</c:v>
                </c:pt>
                <c:pt idx="24">
                  <c:v>298.91870392064669</c:v>
                </c:pt>
                <c:pt idx="25">
                  <c:v>309.90494080236027</c:v>
                </c:pt>
                <c:pt idx="26">
                  <c:v>314.74501742568498</c:v>
                </c:pt>
                <c:pt idx="27">
                  <c:v>314.33612264958384</c:v>
                </c:pt>
                <c:pt idx="28">
                  <c:v>316.75029834728252</c:v>
                </c:pt>
              </c:numCache>
            </c:numRef>
          </c:val>
          <c:smooth val="0"/>
          <c:extLst xmlns:c16r2="http://schemas.microsoft.com/office/drawing/2015/06/chart">
            <c:ext xmlns:c16="http://schemas.microsoft.com/office/drawing/2014/chart" uri="{C3380CC4-5D6E-409C-BE32-E72D297353CC}">
              <c16:uniqueId val="{00000000-98BC-400C-A878-F3BB1387E7E1}"/>
            </c:ext>
          </c:extLst>
        </c:ser>
        <c:dLbls>
          <c:showLegendKey val="0"/>
          <c:showVal val="0"/>
          <c:showCatName val="0"/>
          <c:showSerName val="0"/>
          <c:showPercent val="0"/>
          <c:showBubbleSize val="0"/>
        </c:dLbls>
        <c:smooth val="0"/>
        <c:axId val="246034968"/>
        <c:axId val="246035360"/>
      </c:lineChart>
      <c:dateAx>
        <c:axId val="246034968"/>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035360"/>
        <c:crosses val="autoZero"/>
        <c:auto val="1"/>
        <c:lblOffset val="100"/>
        <c:baseTimeUnit val="years"/>
        <c:majorUnit val="3"/>
        <c:majorTimeUnit val="years"/>
      </c:dateAx>
      <c:valAx>
        <c:axId val="246035360"/>
        <c:scaling>
          <c:orientation val="minMax"/>
          <c:min val="200"/>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46034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12</xdr:col>
      <xdr:colOff>33337</xdr:colOff>
      <xdr:row>15</xdr:row>
      <xdr:rowOff>133350</xdr:rowOff>
    </xdr:from>
    <xdr:to>
      <xdr:col>18</xdr:col>
      <xdr:colOff>376237</xdr:colOff>
      <xdr:row>30</xdr:row>
      <xdr:rowOff>19050</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138112</xdr:colOff>
      <xdr:row>15</xdr:row>
      <xdr:rowOff>114300</xdr:rowOff>
    </xdr:from>
    <xdr:to>
      <xdr:col>4</xdr:col>
      <xdr:colOff>61912</xdr:colOff>
      <xdr:row>30</xdr:row>
      <xdr:rowOff>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xdr:colOff>
      <xdr:row>15</xdr:row>
      <xdr:rowOff>114300</xdr:rowOff>
    </xdr:from>
    <xdr:to>
      <xdr:col>25</xdr:col>
      <xdr:colOff>442912</xdr:colOff>
      <xdr:row>30</xdr:row>
      <xdr:rowOff>0</xdr:rowOff>
    </xdr:to>
    <xdr:graphicFrame macro="">
      <xdr:nvGraphicFramePr>
        <xdr:cNvPr id="8" name="Chart 7">
          <a:extLst>
            <a:ext uri="{FF2B5EF4-FFF2-40B4-BE49-F238E27FC236}">
              <a16:creationId xmlns:a16="http://schemas.microsoft.com/office/drawing/2014/main" xmlns=""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15</xdr:row>
      <xdr:rowOff>142875</xdr:rowOff>
    </xdr:from>
    <xdr:to>
      <xdr:col>11</xdr:col>
      <xdr:colOff>476250</xdr:colOff>
      <xdr:row>30</xdr:row>
      <xdr:rowOff>28575</xdr:rowOff>
    </xdr:to>
    <xdr:graphicFrame macro="">
      <xdr:nvGraphicFramePr>
        <xdr:cNvPr id="9" name="Chart 8">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71437</xdr:colOff>
      <xdr:row>15</xdr:row>
      <xdr:rowOff>19050</xdr:rowOff>
    </xdr:from>
    <xdr:to>
      <xdr:col>10</xdr:col>
      <xdr:colOff>376237</xdr:colOff>
      <xdr:row>29</xdr:row>
      <xdr:rowOff>95250</xdr:rowOff>
    </xdr:to>
    <xdr:graphicFrame macro="">
      <xdr:nvGraphicFramePr>
        <xdr:cNvPr id="5" name="Chart 4">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23812</xdr:colOff>
      <xdr:row>15</xdr:row>
      <xdr:rowOff>114300</xdr:rowOff>
    </xdr:from>
    <xdr:to>
      <xdr:col>17</xdr:col>
      <xdr:colOff>366712</xdr:colOff>
      <xdr:row>30</xdr:row>
      <xdr:rowOff>0</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128587</xdr:colOff>
      <xdr:row>15</xdr:row>
      <xdr:rowOff>66675</xdr:rowOff>
    </xdr:from>
    <xdr:to>
      <xdr:col>4</xdr:col>
      <xdr:colOff>52387</xdr:colOff>
      <xdr:row>29</xdr:row>
      <xdr:rowOff>142875</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595312</xdr:colOff>
      <xdr:row>14</xdr:row>
      <xdr:rowOff>180975</xdr:rowOff>
    </xdr:from>
    <xdr:to>
      <xdr:col>24</xdr:col>
      <xdr:colOff>223837</xdr:colOff>
      <xdr:row>29</xdr:row>
      <xdr:rowOff>66675</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157162</xdr:colOff>
      <xdr:row>15</xdr:row>
      <xdr:rowOff>47625</xdr:rowOff>
    </xdr:from>
    <xdr:to>
      <xdr:col>10</xdr:col>
      <xdr:colOff>576262</xdr:colOff>
      <xdr:row>29</xdr:row>
      <xdr:rowOff>123825</xdr:rowOff>
    </xdr:to>
    <xdr:graphicFrame macro="">
      <xdr:nvGraphicFramePr>
        <xdr:cNvPr id="6" name="Chart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339725</xdr:colOff>
      <xdr:row>9</xdr:row>
      <xdr:rowOff>165100</xdr:rowOff>
    </xdr:from>
    <xdr:to>
      <xdr:col>43</xdr:col>
      <xdr:colOff>28575</xdr:colOff>
      <xdr:row>24</xdr:row>
      <xdr:rowOff>50800</xdr:rowOff>
    </xdr:to>
    <xdr:graphicFrame macro="">
      <xdr:nvGraphicFramePr>
        <xdr:cNvPr id="7" name="Chart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0</xdr:colOff>
      <xdr:row>16</xdr:row>
      <xdr:rowOff>0</xdr:rowOff>
    </xdr:from>
    <xdr:to>
      <xdr:col>50</xdr:col>
      <xdr:colOff>312420</xdr:colOff>
      <xdr:row>30</xdr:row>
      <xdr:rowOff>68580</xdr:rowOff>
    </xdr:to>
    <xdr:graphicFrame macro="">
      <xdr:nvGraphicFramePr>
        <xdr:cNvPr id="8" name="Chart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33337</xdr:colOff>
      <xdr:row>15</xdr:row>
      <xdr:rowOff>133350</xdr:rowOff>
    </xdr:from>
    <xdr:to>
      <xdr:col>18</xdr:col>
      <xdr:colOff>376237</xdr:colOff>
      <xdr:row>30</xdr:row>
      <xdr:rowOff>19050</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14287</xdr:colOff>
      <xdr:row>15</xdr:row>
      <xdr:rowOff>114300</xdr:rowOff>
    </xdr:from>
    <xdr:to>
      <xdr:col>25</xdr:col>
      <xdr:colOff>442912</xdr:colOff>
      <xdr:row>30</xdr:row>
      <xdr:rowOff>0</xdr:rowOff>
    </xdr:to>
    <xdr:graphicFrame macro="">
      <xdr:nvGraphicFramePr>
        <xdr:cNvPr id="4" name="Chart 3">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152400</xdr:colOff>
      <xdr:row>15</xdr:row>
      <xdr:rowOff>142875</xdr:rowOff>
    </xdr:from>
    <xdr:to>
      <xdr:col>11</xdr:col>
      <xdr:colOff>476250</xdr:colOff>
      <xdr:row>30</xdr:row>
      <xdr:rowOff>28575</xdr:rowOff>
    </xdr:to>
    <xdr:graphicFrame macro="">
      <xdr:nvGraphicFramePr>
        <xdr:cNvPr id="5" name="Chart 4">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223837</xdr:colOff>
      <xdr:row>15</xdr:row>
      <xdr:rowOff>76200</xdr:rowOff>
    </xdr:from>
    <xdr:to>
      <xdr:col>4</xdr:col>
      <xdr:colOff>147637</xdr:colOff>
      <xdr:row>29</xdr:row>
      <xdr:rowOff>152400</xdr:rowOff>
    </xdr:to>
    <xdr:graphicFrame macro="">
      <xdr:nvGraphicFramePr>
        <xdr:cNvPr id="6" name="Chart 5">
          <a:extLst>
            <a:ext uri="{FF2B5EF4-FFF2-40B4-BE49-F238E27FC236}">
              <a16:creationId xmlns:a16="http://schemas.microsoft.com/office/drawing/2014/main" xmlns=""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319087</xdr:colOff>
      <xdr:row>10</xdr:row>
      <xdr:rowOff>38100</xdr:rowOff>
    </xdr:from>
    <xdr:to>
      <xdr:col>11</xdr:col>
      <xdr:colOff>14287</xdr:colOff>
      <xdr:row>24</xdr:row>
      <xdr:rowOff>114300</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33337</xdr:colOff>
      <xdr:row>15</xdr:row>
      <xdr:rowOff>133350</xdr:rowOff>
    </xdr:from>
    <xdr:to>
      <xdr:col>18</xdr:col>
      <xdr:colOff>376237</xdr:colOff>
      <xdr:row>30</xdr:row>
      <xdr:rowOff>19050</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14287</xdr:colOff>
      <xdr:row>15</xdr:row>
      <xdr:rowOff>114300</xdr:rowOff>
    </xdr:from>
    <xdr:to>
      <xdr:col>25</xdr:col>
      <xdr:colOff>442912</xdr:colOff>
      <xdr:row>30</xdr:row>
      <xdr:rowOff>0</xdr:rowOff>
    </xdr:to>
    <xdr:graphicFrame macro="">
      <xdr:nvGraphicFramePr>
        <xdr:cNvPr id="3" name="Chart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152400</xdr:colOff>
      <xdr:row>15</xdr:row>
      <xdr:rowOff>142875</xdr:rowOff>
    </xdr:from>
    <xdr:to>
      <xdr:col>11</xdr:col>
      <xdr:colOff>476250</xdr:colOff>
      <xdr:row>30</xdr:row>
      <xdr:rowOff>28575</xdr:rowOff>
    </xdr:to>
    <xdr:graphicFrame macro="">
      <xdr:nvGraphicFramePr>
        <xdr:cNvPr id="4" name="Chart 3">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223837</xdr:colOff>
      <xdr:row>15</xdr:row>
      <xdr:rowOff>76200</xdr:rowOff>
    </xdr:from>
    <xdr:to>
      <xdr:col>4</xdr:col>
      <xdr:colOff>147637</xdr:colOff>
      <xdr:row>29</xdr:row>
      <xdr:rowOff>152400</xdr:rowOff>
    </xdr:to>
    <xdr:graphicFrame macro="">
      <xdr:nvGraphicFramePr>
        <xdr:cNvPr id="5" name="Chart 4">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NZIER">
      <a:dk1>
        <a:sysClr val="windowText" lastClr="000000"/>
      </a:dk1>
      <a:lt1>
        <a:sysClr val="window" lastClr="FFFFFF"/>
      </a:lt1>
      <a:dk2>
        <a:srgbClr val="44546A"/>
      </a:dk2>
      <a:lt2>
        <a:srgbClr val="E7E6E6"/>
      </a:lt2>
      <a:accent1>
        <a:srgbClr val="0094C5"/>
      </a:accent1>
      <a:accent2>
        <a:srgbClr val="2C2276"/>
      </a:accent2>
      <a:accent3>
        <a:srgbClr val="9D9D9D"/>
      </a:accent3>
      <a:accent4>
        <a:srgbClr val="89C1D3"/>
      </a:accent4>
      <a:accent5>
        <a:srgbClr val="3AAA35"/>
      </a:accent5>
      <a:accent6>
        <a:srgbClr val="7B1244"/>
      </a:accent6>
      <a:hlink>
        <a:srgbClr val="AFCA0B"/>
      </a:hlink>
      <a:folHlink>
        <a:srgbClr val="E5006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H31"/>
  <sheetViews>
    <sheetView workbookViewId="0">
      <selection activeCell="AB6" sqref="AB6"/>
    </sheetView>
  </sheetViews>
  <sheetFormatPr defaultRowHeight="15" x14ac:dyDescent="0.25"/>
  <cols>
    <col min="1" max="1" width="9.140625" style="164"/>
    <col min="2" max="2" width="42.28515625" customWidth="1"/>
  </cols>
  <sheetData>
    <row r="2" spans="1:34" s="8" customFormat="1" x14ac:dyDescent="0.25">
      <c r="B2" s="191" t="s">
        <v>0</v>
      </c>
      <c r="C2" s="4" t="s">
        <v>1</v>
      </c>
      <c r="D2" s="4" t="s">
        <v>2</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18</v>
      </c>
      <c r="U2" s="4" t="s">
        <v>19</v>
      </c>
      <c r="V2" s="4" t="s">
        <v>20</v>
      </c>
      <c r="W2" s="4" t="s">
        <v>21</v>
      </c>
      <c r="X2" s="4">
        <v>2014</v>
      </c>
      <c r="Y2" s="4" t="s">
        <v>22</v>
      </c>
      <c r="Z2" s="4" t="s">
        <v>23</v>
      </c>
      <c r="AA2" s="127">
        <v>2017</v>
      </c>
      <c r="AB2" s="127">
        <f>AA2+1</f>
        <v>2018</v>
      </c>
      <c r="AC2" s="127">
        <f>AB2+1</f>
        <v>2019</v>
      </c>
      <c r="AD2" s="127">
        <f>AC2+1</f>
        <v>2020</v>
      </c>
      <c r="AE2" s="127">
        <f>AD2+1</f>
        <v>2021</v>
      </c>
      <c r="AF2" s="127">
        <f>AE2+1</f>
        <v>2022</v>
      </c>
    </row>
    <row r="3" spans="1:34" x14ac:dyDescent="0.25">
      <c r="B3" s="192"/>
      <c r="C3" s="10" t="s">
        <v>24</v>
      </c>
      <c r="D3" s="10" t="s">
        <v>24</v>
      </c>
      <c r="E3" s="10" t="s">
        <v>24</v>
      </c>
      <c r="F3" s="10" t="s">
        <v>24</v>
      </c>
      <c r="G3" s="10" t="s">
        <v>24</v>
      </c>
      <c r="H3" s="10" t="s">
        <v>24</v>
      </c>
      <c r="I3" s="10" t="s">
        <v>24</v>
      </c>
      <c r="J3" s="10" t="s">
        <v>24</v>
      </c>
      <c r="K3" s="10" t="s">
        <v>24</v>
      </c>
      <c r="L3" s="10" t="s">
        <v>24</v>
      </c>
      <c r="M3" s="10" t="s">
        <v>24</v>
      </c>
      <c r="N3" s="10" t="s">
        <v>24</v>
      </c>
      <c r="O3" s="10" t="s">
        <v>24</v>
      </c>
      <c r="P3" s="10" t="s">
        <v>24</v>
      </c>
      <c r="Q3" s="10" t="s">
        <v>24</v>
      </c>
      <c r="R3" s="10" t="s">
        <v>24</v>
      </c>
      <c r="S3" s="10" t="s">
        <v>24</v>
      </c>
      <c r="T3" s="10" t="s">
        <v>24</v>
      </c>
      <c r="U3" s="10" t="s">
        <v>24</v>
      </c>
      <c r="V3" s="10" t="s">
        <v>24</v>
      </c>
      <c r="W3" s="10" t="s">
        <v>24</v>
      </c>
      <c r="X3" s="10" t="s">
        <v>24</v>
      </c>
      <c r="Y3" s="10" t="s">
        <v>24</v>
      </c>
      <c r="Z3" s="10" t="s">
        <v>24</v>
      </c>
      <c r="AA3" s="121"/>
      <c r="AB3" s="121"/>
      <c r="AC3" s="121"/>
      <c r="AD3" s="121"/>
      <c r="AE3" s="121"/>
      <c r="AF3" s="121"/>
    </row>
    <row r="4" spans="1:34" x14ac:dyDescent="0.25">
      <c r="B4" s="192"/>
      <c r="C4" s="10" t="s">
        <v>25</v>
      </c>
      <c r="D4" s="10" t="s">
        <v>25</v>
      </c>
      <c r="E4" s="10" t="s">
        <v>25</v>
      </c>
      <c r="F4" s="10" t="s">
        <v>25</v>
      </c>
      <c r="G4" s="10" t="s">
        <v>25</v>
      </c>
      <c r="H4" s="10" t="s">
        <v>25</v>
      </c>
      <c r="I4" s="10" t="s">
        <v>25</v>
      </c>
      <c r="J4" s="10" t="s">
        <v>25</v>
      </c>
      <c r="K4" s="10" t="s">
        <v>25</v>
      </c>
      <c r="L4" s="10" t="s">
        <v>25</v>
      </c>
      <c r="M4" s="10" t="s">
        <v>25</v>
      </c>
      <c r="N4" s="10" t="s">
        <v>25</v>
      </c>
      <c r="O4" s="10" t="s">
        <v>25</v>
      </c>
      <c r="P4" s="10" t="s">
        <v>25</v>
      </c>
      <c r="Q4" s="10" t="s">
        <v>25</v>
      </c>
      <c r="R4" s="10" t="s">
        <v>25</v>
      </c>
      <c r="S4" s="10" t="s">
        <v>25</v>
      </c>
      <c r="T4" s="10" t="s">
        <v>25</v>
      </c>
      <c r="U4" s="10" t="s">
        <v>25</v>
      </c>
      <c r="V4" s="10" t="s">
        <v>25</v>
      </c>
      <c r="W4" s="10" t="s">
        <v>25</v>
      </c>
      <c r="X4" s="10" t="s">
        <v>25</v>
      </c>
      <c r="Y4" s="10" t="s">
        <v>25</v>
      </c>
      <c r="Z4" s="10" t="s">
        <v>25</v>
      </c>
      <c r="AA4" s="121"/>
      <c r="AB4" s="121"/>
      <c r="AC4" s="121"/>
      <c r="AD4" s="121"/>
      <c r="AE4" s="121"/>
      <c r="AF4" s="121"/>
    </row>
    <row r="5" spans="1:34" s="18" customFormat="1" ht="15.75" customHeight="1" x14ac:dyDescent="0.25">
      <c r="B5" s="14" t="s">
        <v>26</v>
      </c>
      <c r="C5" s="16">
        <v>1993</v>
      </c>
      <c r="D5" s="16">
        <f>+C5+1</f>
        <v>1994</v>
      </c>
      <c r="E5" s="16">
        <f t="shared" ref="E5:AF5" si="0">+D5+1</f>
        <v>1995</v>
      </c>
      <c r="F5" s="16">
        <f t="shared" si="0"/>
        <v>1996</v>
      </c>
      <c r="G5" s="16">
        <f t="shared" si="0"/>
        <v>1997</v>
      </c>
      <c r="H5" s="16">
        <f t="shared" si="0"/>
        <v>1998</v>
      </c>
      <c r="I5" s="16">
        <f t="shared" si="0"/>
        <v>1999</v>
      </c>
      <c r="J5" s="16">
        <f t="shared" si="0"/>
        <v>2000</v>
      </c>
      <c r="K5" s="16">
        <f t="shared" si="0"/>
        <v>2001</v>
      </c>
      <c r="L5" s="16">
        <f t="shared" si="0"/>
        <v>2002</v>
      </c>
      <c r="M5" s="16">
        <f t="shared" si="0"/>
        <v>2003</v>
      </c>
      <c r="N5" s="16">
        <f t="shared" si="0"/>
        <v>2004</v>
      </c>
      <c r="O5" s="16">
        <f t="shared" si="0"/>
        <v>2005</v>
      </c>
      <c r="P5" s="16">
        <f t="shared" si="0"/>
        <v>2006</v>
      </c>
      <c r="Q5" s="16">
        <f t="shared" si="0"/>
        <v>2007</v>
      </c>
      <c r="R5" s="16">
        <f t="shared" si="0"/>
        <v>2008</v>
      </c>
      <c r="S5" s="16">
        <f t="shared" si="0"/>
        <v>2009</v>
      </c>
      <c r="T5" s="16">
        <f t="shared" si="0"/>
        <v>2010</v>
      </c>
      <c r="U5" s="16">
        <f t="shared" si="0"/>
        <v>2011</v>
      </c>
      <c r="V5" s="16">
        <f t="shared" si="0"/>
        <v>2012</v>
      </c>
      <c r="W5" s="16">
        <f t="shared" si="0"/>
        <v>2013</v>
      </c>
      <c r="X5" s="16">
        <f t="shared" si="0"/>
        <v>2014</v>
      </c>
      <c r="Y5" s="16">
        <f t="shared" si="0"/>
        <v>2015</v>
      </c>
      <c r="Z5" s="16">
        <f t="shared" si="0"/>
        <v>2016</v>
      </c>
      <c r="AA5" s="16">
        <f t="shared" si="0"/>
        <v>2017</v>
      </c>
      <c r="AB5" s="16">
        <f t="shared" si="0"/>
        <v>2018</v>
      </c>
      <c r="AC5" s="16">
        <f t="shared" si="0"/>
        <v>2019</v>
      </c>
      <c r="AD5" s="16">
        <f t="shared" si="0"/>
        <v>2020</v>
      </c>
      <c r="AE5" s="16">
        <f t="shared" si="0"/>
        <v>2021</v>
      </c>
      <c r="AF5" s="16">
        <f t="shared" si="0"/>
        <v>2022</v>
      </c>
      <c r="AG5" s="16"/>
    </row>
    <row r="6" spans="1:34" s="54" customFormat="1" ht="15.75" customHeight="1" x14ac:dyDescent="0.25">
      <c r="B6" s="55" t="str">
        <f>+'Core Crown Expenditure 93-16'!A6</f>
        <v>Core govt services</v>
      </c>
      <c r="C6" s="164">
        <f>INDEX('Core Crown Expenditure 93-16'!$B$6:$AD$22,MATCH('Aggregated expenditure (Core)'!$B6,'Core Crown Expenditure 93-16'!$A$6:$A$22,0),MATCH('Aggregated expenditure (Core)'!C$5,'Core Crown Expenditure 93-16'!$B$5:$AD$5,0))</f>
        <v>1464</v>
      </c>
      <c r="D6" s="164">
        <f>INDEX('Core Crown Expenditure 93-16'!$B$6:$AD$22,MATCH('Aggregated expenditure (Core)'!$B6,'Core Crown Expenditure 93-16'!$A$6:$A$22,0),MATCH('Aggregated expenditure (Core)'!D$5,'Core Crown Expenditure 93-16'!$B$5:$AD$5,0))</f>
        <v>1723</v>
      </c>
      <c r="E6" s="164">
        <f>INDEX('Core Crown Expenditure 93-16'!$B$6:$AD$22,MATCH('Aggregated expenditure (Core)'!$B6,'Core Crown Expenditure 93-16'!$A$6:$A$22,0),MATCH('Aggregated expenditure (Core)'!E$5,'Core Crown Expenditure 93-16'!$B$5:$AD$5,0))</f>
        <v>1340</v>
      </c>
      <c r="F6" s="164">
        <f>INDEX('Core Crown Expenditure 93-16'!$B$6:$AD$22,MATCH('Aggregated expenditure (Core)'!$B6,'Core Crown Expenditure 93-16'!$A$6:$A$22,0),MATCH('Aggregated expenditure (Core)'!F$5,'Core Crown Expenditure 93-16'!$B$5:$AD$5,0))</f>
        <v>1565</v>
      </c>
      <c r="G6" s="164">
        <f>INDEX('Core Crown Expenditure 93-16'!$B$6:$AD$22,MATCH('Aggregated expenditure (Core)'!$B6,'Core Crown Expenditure 93-16'!$A$6:$A$22,0),MATCH('Aggregated expenditure (Core)'!G$5,'Core Crown Expenditure 93-16'!$B$5:$AD$5,0))</f>
        <v>1667</v>
      </c>
      <c r="H6" s="164">
        <f>INDEX('Core Crown Expenditure 93-16'!$B$6:$AD$22,MATCH('Aggregated expenditure (Core)'!$B6,'Core Crown Expenditure 93-16'!$A$6:$A$22,0),MATCH('Aggregated expenditure (Core)'!H$5,'Core Crown Expenditure 93-16'!$B$5:$AD$5,0))</f>
        <v>1562</v>
      </c>
      <c r="I6" s="164">
        <f>INDEX('Core Crown Expenditure 93-16'!$B$6:$AD$22,MATCH('Aggregated expenditure (Core)'!$B6,'Core Crown Expenditure 93-16'!$A$6:$A$22,0),MATCH('Aggregated expenditure (Core)'!I$5,'Core Crown Expenditure 93-16'!$B$5:$AD$5,0))</f>
        <v>1705</v>
      </c>
      <c r="J6" s="164">
        <f>INDEX('Core Crown Expenditure 93-16'!$B$6:$AD$22,MATCH('Aggregated expenditure (Core)'!$B6,'Core Crown Expenditure 93-16'!$A$6:$A$22,0),MATCH('Aggregated expenditure (Core)'!J$5,'Core Crown Expenditure 93-16'!$B$5:$AD$5,0))</f>
        <v>1710</v>
      </c>
      <c r="K6" s="164">
        <f>INDEX('Core Crown Expenditure 93-16'!$B$6:$AD$22,MATCH('Aggregated expenditure (Core)'!$B6,'Core Crown Expenditure 93-16'!$A$6:$A$22,0),MATCH('Aggregated expenditure (Core)'!K$5,'Core Crown Expenditure 93-16'!$B$5:$AD$5,0))</f>
        <v>1798</v>
      </c>
      <c r="L6" s="164">
        <f>INDEX('Core Crown Expenditure 93-16'!$B$6:$AD$22,MATCH('Aggregated expenditure (Core)'!$B6,'Core Crown Expenditure 93-16'!$A$6:$A$22,0),MATCH('Aggregated expenditure (Core)'!L$5,'Core Crown Expenditure 93-16'!$B$5:$AD$5,0))</f>
        <v>1540</v>
      </c>
      <c r="M6" s="164">
        <f>INDEX('Core Crown Expenditure 93-16'!$B$6:$AD$22,MATCH('Aggregated expenditure (Core)'!$B6,'Core Crown Expenditure 93-16'!$A$6:$A$22,0),MATCH('Aggregated expenditure (Core)'!M$5,'Core Crown Expenditure 93-16'!$B$5:$AD$5,0))</f>
        <v>2130</v>
      </c>
      <c r="N6" s="164">
        <f>INDEX('Core Crown Expenditure 93-16'!$B$6:$AD$22,MATCH('Aggregated expenditure (Core)'!$B6,'Core Crown Expenditure 93-16'!$A$6:$A$22,0),MATCH('Aggregated expenditure (Core)'!N$5,'Core Crown Expenditure 93-16'!$B$5:$AD$5,0))</f>
        <v>2091</v>
      </c>
      <c r="O6" s="164">
        <f>INDEX('Core Crown Expenditure 93-16'!$B$6:$AD$22,MATCH('Aggregated expenditure (Core)'!$B6,'Core Crown Expenditure 93-16'!$A$6:$A$22,0),MATCH('Aggregated expenditure (Core)'!O$5,'Core Crown Expenditure 93-16'!$B$5:$AD$5,0))</f>
        <v>2567</v>
      </c>
      <c r="P6" s="164">
        <f>INDEX('Core Crown Expenditure 93-16'!$B$6:$AD$22,MATCH('Aggregated expenditure (Core)'!$B6,'Core Crown Expenditure 93-16'!$A$6:$A$22,0),MATCH('Aggregated expenditure (Core)'!P$5,'Core Crown Expenditure 93-16'!$B$5:$AD$5,0))</f>
        <v>2507</v>
      </c>
      <c r="Q6" s="164">
        <f>INDEX('Core Crown Expenditure 93-16'!$B$6:$AD$22,MATCH('Aggregated expenditure (Core)'!$B6,'Core Crown Expenditure 93-16'!$A$6:$A$22,0),MATCH('Aggregated expenditure (Core)'!Q$5,'Core Crown Expenditure 93-16'!$B$5:$AD$5,0))</f>
        <v>4816</v>
      </c>
      <c r="R6" s="164">
        <f>INDEX('Core Crown Expenditure 93-16'!$B$6:$AD$22,MATCH('Aggregated expenditure (Core)'!$B6,'Core Crown Expenditure 93-16'!$A$6:$A$22,0),MATCH('Aggregated expenditure (Core)'!R$5,'Core Crown Expenditure 93-16'!$B$5:$AD$5,0))</f>
        <v>3371</v>
      </c>
      <c r="S6" s="164">
        <f>INDEX('Core Crown Expenditure 93-16'!$B$6:$AD$22,MATCH('Aggregated expenditure (Core)'!$B6,'Core Crown Expenditure 93-16'!$A$6:$A$22,0),MATCH('Aggregated expenditure (Core)'!S$5,'Core Crown Expenditure 93-16'!$B$5:$AD$5,0))</f>
        <v>5293</v>
      </c>
      <c r="T6" s="164">
        <f>INDEX('Core Crown Expenditure 93-16'!$B$6:$AD$22,MATCH('Aggregated expenditure (Core)'!$B6,'Core Crown Expenditure 93-16'!$A$6:$A$22,0),MATCH('Aggregated expenditure (Core)'!T$5,'Core Crown Expenditure 93-16'!$B$5:$AD$5,0))</f>
        <v>2974</v>
      </c>
      <c r="U6" s="164">
        <f>INDEX('Core Crown Expenditure 93-16'!$B$6:$AD$22,MATCH('Aggregated expenditure (Core)'!$B6,'Core Crown Expenditure 93-16'!$A$6:$A$22,0),MATCH('Aggregated expenditure (Core)'!U$5,'Core Crown Expenditure 93-16'!$B$5:$AD$5,0))</f>
        <v>5563</v>
      </c>
      <c r="V6" s="164">
        <f>INDEX('Core Crown Expenditure 93-16'!$B$6:$AD$22,MATCH('Aggregated expenditure (Core)'!$B6,'Core Crown Expenditure 93-16'!$A$6:$A$22,0),MATCH('Aggregated expenditure (Core)'!V$5,'Core Crown Expenditure 93-16'!$B$5:$AD$5,0))</f>
        <v>5428</v>
      </c>
      <c r="W6" s="164">
        <f>INDEX('Core Crown Expenditure 93-16'!$B$6:$AD$22,MATCH('Aggregated expenditure (Core)'!$B6,'Core Crown Expenditure 93-16'!$A$6:$A$22,0),MATCH('Aggregated expenditure (Core)'!W$5,'Core Crown Expenditure 93-16'!$B$5:$AD$5,0))</f>
        <v>4294</v>
      </c>
      <c r="X6" s="164">
        <f>INDEX('Core Crown Expenditure 93-16'!$B$6:$AD$22,MATCH('Aggregated expenditure (Core)'!$B6,'Core Crown Expenditure 93-16'!$A$6:$A$22,0),MATCH('Aggregated expenditure (Core)'!X$5,'Core Crown Expenditure 93-16'!$B$5:$AD$5,0))</f>
        <v>4502</v>
      </c>
      <c r="Y6" s="164">
        <f>INDEX('Core Crown Expenditure 93-16'!$B$6:$AD$22,MATCH('Aggregated expenditure (Core)'!$B6,'Core Crown Expenditure 93-16'!$A$6:$A$22,0),MATCH('Aggregated expenditure (Core)'!Y$5,'Core Crown Expenditure 93-16'!$B$5:$AD$5,0))</f>
        <v>4134</v>
      </c>
      <c r="Z6" s="164">
        <f>INDEX('Core Crown Expenditure 93-16'!$B$6:$AD$22,MATCH('Aggregated expenditure (Core)'!$B6,'Core Crown Expenditure 93-16'!$A$6:$A$22,0),MATCH('Aggregated expenditure (Core)'!Z$5,'Core Crown Expenditure 93-16'!$B$5:$AD$5,0))</f>
        <v>4102</v>
      </c>
      <c r="AA6" s="164">
        <f>INDEX('Core Crown Expenditure 93-16'!$B$6:$AD$22,MATCH('Aggregated expenditure (Core)'!$B6,'Core Crown Expenditure 93-16'!$A$6:$A$22,0),MATCH('Aggregated expenditure (Core)'!AA$5,'Core Crown Expenditure 93-16'!$B$5:$AD$5,0))</f>
        <v>3957</v>
      </c>
      <c r="AB6" s="164">
        <f>INDEX('Core Crown Expenditure 93-16'!$B$6:$AD$22,MATCH('Aggregated expenditure (Core)'!$B6,'Core Crown Expenditure 93-16'!$A$6:$A$22,0),MATCH('Aggregated expenditure (Core)'!AB$5,'Core Crown Expenditure 93-16'!$B$5:$AD$5,0))</f>
        <v>5358</v>
      </c>
      <c r="AC6" s="164">
        <f>INDEX('Core Crown Expenditure 93-16'!$B$6:$AD$22,MATCH('Aggregated expenditure (Core)'!$B6,'Core Crown Expenditure 93-16'!$A$6:$A$22,0),MATCH('Aggregated expenditure (Core)'!AC$5,'Core Crown Expenditure 93-16'!$B$5:$AD$5,0))</f>
        <v>4924</v>
      </c>
      <c r="AD6" s="164">
        <f>INDEX('Core Crown Expenditure 93-16'!$B$6:$AD$22,MATCH('Aggregated expenditure (Core)'!$B6,'Core Crown Expenditure 93-16'!$A$6:$A$22,0),MATCH('Aggregated expenditure (Core)'!AD$5,'Core Crown Expenditure 93-16'!$B$5:$AD$5,0))</f>
        <v>5049</v>
      </c>
      <c r="AE6" s="164">
        <f>INDEX('Core Crown Expenditure 93-16'!$B$6:$AD$22,MATCH('Aggregated expenditure (Core)'!$B6,'Core Crown Expenditure 93-16'!$A$6:$A$22,0),MATCH('Aggregated expenditure (Core)'!AE$5,'Core Crown Expenditure 93-16'!$B$5:$AD$5,0))</f>
        <v>5014</v>
      </c>
      <c r="AF6" s="164">
        <f>INDEX('Core Crown Expenditure 93-16'!$B$6:$AE$22,MATCH('Aggregated expenditure (Core)'!$B6,'Core Crown Expenditure 93-16'!$A$6:$A$22,0),MATCH('Aggregated expenditure (Core)'!AF$5,'Core Crown Expenditure 93-16'!$B$5:$AE$5,0))</f>
        <v>5167</v>
      </c>
      <c r="AG6" s="164"/>
      <c r="AH6" s="164"/>
    </row>
    <row r="7" spans="1:34" x14ac:dyDescent="0.25">
      <c r="B7" s="24" t="s">
        <v>27</v>
      </c>
      <c r="C7" s="164">
        <f>INDEX('Core Crown Expenditure 93-16'!$B$6:$AD$22,MATCH('Aggregated expenditure (Core)'!$B7,'Core Crown Expenditure 93-16'!$A$6:$A$22,0),MATCH('Aggregated expenditure (Core)'!C$5,'Core Crown Expenditure 93-16'!$B$5:$AD$5,0))</f>
        <v>1173</v>
      </c>
      <c r="D7" s="164">
        <f>INDEX('Core Crown Expenditure 93-16'!$B$6:$AD$22,MATCH('Aggregated expenditure (Core)'!$B7,'Core Crown Expenditure 93-16'!$A$6:$A$22,0),MATCH('Aggregated expenditure (Core)'!D$5,'Core Crown Expenditure 93-16'!$B$5:$AD$5,0))</f>
        <v>1049</v>
      </c>
      <c r="E7" s="164">
        <f>INDEX('Core Crown Expenditure 93-16'!$B$6:$AD$22,MATCH('Aggregated expenditure (Core)'!$B7,'Core Crown Expenditure 93-16'!$A$6:$A$22,0),MATCH('Aggregated expenditure (Core)'!E$5,'Core Crown Expenditure 93-16'!$B$5:$AD$5,0))</f>
        <v>1013</v>
      </c>
      <c r="F7" s="164">
        <f>INDEX('Core Crown Expenditure 93-16'!$B$6:$AD$22,MATCH('Aggregated expenditure (Core)'!$B7,'Core Crown Expenditure 93-16'!$A$6:$A$22,0),MATCH('Aggregated expenditure (Core)'!F$5,'Core Crown Expenditure 93-16'!$B$5:$AD$5,0))</f>
        <v>970</v>
      </c>
      <c r="G7" s="164">
        <f>INDEX('Core Crown Expenditure 93-16'!$B$6:$AD$22,MATCH('Aggregated expenditure (Core)'!$B7,'Core Crown Expenditure 93-16'!$A$6:$A$22,0),MATCH('Aggregated expenditure (Core)'!G$5,'Core Crown Expenditure 93-16'!$B$5:$AD$5,0))</f>
        <v>946</v>
      </c>
      <c r="H7" s="164">
        <f>INDEX('Core Crown Expenditure 93-16'!$B$6:$AD$22,MATCH('Aggregated expenditure (Core)'!$B7,'Core Crown Expenditure 93-16'!$A$6:$A$22,0),MATCH('Aggregated expenditure (Core)'!H$5,'Core Crown Expenditure 93-16'!$B$5:$AD$5,0))</f>
        <v>1065</v>
      </c>
      <c r="I7" s="164">
        <f>INDEX('Core Crown Expenditure 93-16'!$B$6:$AD$22,MATCH('Aggregated expenditure (Core)'!$B7,'Core Crown Expenditure 93-16'!$A$6:$A$22,0),MATCH('Aggregated expenditure (Core)'!I$5,'Core Crown Expenditure 93-16'!$B$5:$AD$5,0))</f>
        <v>1030</v>
      </c>
      <c r="J7" s="164">
        <f>INDEX('Core Crown Expenditure 93-16'!$B$6:$AD$22,MATCH('Aggregated expenditure (Core)'!$B7,'Core Crown Expenditure 93-16'!$A$6:$A$22,0),MATCH('Aggregated expenditure (Core)'!J$5,'Core Crown Expenditure 93-16'!$B$5:$AD$5,0))</f>
        <v>1247</v>
      </c>
      <c r="K7" s="164">
        <f>INDEX('Core Crown Expenditure 93-16'!$B$6:$AD$22,MATCH('Aggregated expenditure (Core)'!$B7,'Core Crown Expenditure 93-16'!$A$6:$A$22,0),MATCH('Aggregated expenditure (Core)'!K$5,'Core Crown Expenditure 93-16'!$B$5:$AD$5,0))</f>
        <v>1242</v>
      </c>
      <c r="L7" s="164">
        <f>INDEX('Core Crown Expenditure 93-16'!$B$6:$AD$22,MATCH('Aggregated expenditure (Core)'!$B7,'Core Crown Expenditure 93-16'!$A$6:$A$22,0),MATCH('Aggregated expenditure (Core)'!L$5,'Core Crown Expenditure 93-16'!$B$5:$AD$5,0))</f>
        <v>1162</v>
      </c>
      <c r="M7" s="164">
        <f>INDEX('Core Crown Expenditure 93-16'!$B$6:$AD$22,MATCH('Aggregated expenditure (Core)'!$B7,'Core Crown Expenditure 93-16'!$A$6:$A$22,0),MATCH('Aggregated expenditure (Core)'!M$5,'Core Crown Expenditure 93-16'!$B$5:$AD$5,0))</f>
        <v>1199</v>
      </c>
      <c r="N7" s="164">
        <f>INDEX('Core Crown Expenditure 93-16'!$B$6:$AD$22,MATCH('Aggregated expenditure (Core)'!$B7,'Core Crown Expenditure 93-16'!$A$6:$A$22,0),MATCH('Aggregated expenditure (Core)'!N$5,'Core Crown Expenditure 93-16'!$B$5:$AD$5,0))</f>
        <v>1311</v>
      </c>
      <c r="O7" s="164">
        <f>INDEX('Core Crown Expenditure 93-16'!$B$6:$AD$22,MATCH('Aggregated expenditure (Core)'!$B7,'Core Crown Expenditure 93-16'!$A$6:$A$22,0),MATCH('Aggregated expenditure (Core)'!O$5,'Core Crown Expenditure 93-16'!$B$5:$AD$5,0))</f>
        <v>1275</v>
      </c>
      <c r="P7" s="164">
        <f>INDEX('Core Crown Expenditure 93-16'!$B$6:$AD$22,MATCH('Aggregated expenditure (Core)'!$B7,'Core Crown Expenditure 93-16'!$A$6:$A$22,0),MATCH('Aggregated expenditure (Core)'!P$5,'Core Crown Expenditure 93-16'!$B$5:$AD$5,0))</f>
        <v>1383</v>
      </c>
      <c r="Q7" s="164">
        <f>INDEX('Core Crown Expenditure 93-16'!$B$6:$AD$22,MATCH('Aggregated expenditure (Core)'!$B7,'Core Crown Expenditure 93-16'!$A$6:$A$22,0),MATCH('Aggregated expenditure (Core)'!Q$5,'Core Crown Expenditure 93-16'!$B$5:$AD$5,0))</f>
        <v>1517</v>
      </c>
      <c r="R7" s="164">
        <f>INDEX('Core Crown Expenditure 93-16'!$B$6:$AD$22,MATCH('Aggregated expenditure (Core)'!$B7,'Core Crown Expenditure 93-16'!$A$6:$A$22,0),MATCH('Aggregated expenditure (Core)'!R$5,'Core Crown Expenditure 93-16'!$B$5:$AD$5,0))</f>
        <v>1562</v>
      </c>
      <c r="S7" s="164">
        <f>INDEX('Core Crown Expenditure 93-16'!$B$6:$AD$22,MATCH('Aggregated expenditure (Core)'!$B7,'Core Crown Expenditure 93-16'!$A$6:$A$22,0),MATCH('Aggregated expenditure (Core)'!S$5,'Core Crown Expenditure 93-16'!$B$5:$AD$5,0))</f>
        <v>1757</v>
      </c>
      <c r="T7" s="164">
        <f>INDEX('Core Crown Expenditure 93-16'!$B$6:$AD$22,MATCH('Aggregated expenditure (Core)'!$B7,'Core Crown Expenditure 93-16'!$A$6:$A$22,0),MATCH('Aggregated expenditure (Core)'!T$5,'Core Crown Expenditure 93-16'!$B$5:$AD$5,0))</f>
        <v>1814</v>
      </c>
      <c r="U7" s="164">
        <f>INDEX('Core Crown Expenditure 93-16'!$B$6:$AD$22,MATCH('Aggregated expenditure (Core)'!$B7,'Core Crown Expenditure 93-16'!$A$6:$A$22,0),MATCH('Aggregated expenditure (Core)'!U$5,'Core Crown Expenditure 93-16'!$B$5:$AD$5,0))</f>
        <v>1809</v>
      </c>
      <c r="V7" s="164">
        <f>INDEX('Core Crown Expenditure 93-16'!$B$6:$AD$22,MATCH('Aggregated expenditure (Core)'!$B7,'Core Crown Expenditure 93-16'!$A$6:$A$22,0),MATCH('Aggregated expenditure (Core)'!V$5,'Core Crown Expenditure 93-16'!$B$5:$AD$5,0))</f>
        <v>1736</v>
      </c>
      <c r="W7" s="164">
        <f>INDEX('Core Crown Expenditure 93-16'!$B$6:$AD$22,MATCH('Aggregated expenditure (Core)'!$B7,'Core Crown Expenditure 93-16'!$A$6:$A$22,0),MATCH('Aggregated expenditure (Core)'!W$5,'Core Crown Expenditure 93-16'!$B$5:$AD$5,0))</f>
        <v>1804</v>
      </c>
      <c r="X7" s="164">
        <f>INDEX('Core Crown Expenditure 93-16'!$B$6:$AD$22,MATCH('Aggregated expenditure (Core)'!$B7,'Core Crown Expenditure 93-16'!$A$6:$A$22,0),MATCH('Aggregated expenditure (Core)'!X$5,'Core Crown Expenditure 93-16'!$B$5:$AD$5,0))</f>
        <v>1811</v>
      </c>
      <c r="Y7" s="164">
        <f>INDEX('Core Crown Expenditure 93-16'!$B$6:$AD$22,MATCH('Aggregated expenditure (Core)'!$B7,'Core Crown Expenditure 93-16'!$A$6:$A$22,0),MATCH('Aggregated expenditure (Core)'!Y$5,'Core Crown Expenditure 93-16'!$B$5:$AD$5,0))</f>
        <v>1961</v>
      </c>
      <c r="Z7" s="164">
        <f>INDEX('Core Crown Expenditure 93-16'!$B$6:$AD$22,MATCH('Aggregated expenditure (Core)'!$B7,'Core Crown Expenditure 93-16'!$A$6:$A$22,0),MATCH('Aggregated expenditure (Core)'!Z$5,'Core Crown Expenditure 93-16'!$B$5:$AD$5,0))</f>
        <v>2025.9999999999998</v>
      </c>
      <c r="AA7" s="164">
        <f>INDEX('Core Crown Expenditure 93-16'!$B$6:$AD$22,MATCH('Aggregated expenditure (Core)'!$B7,'Core Crown Expenditure 93-16'!$A$6:$A$22,0),MATCH('Aggregated expenditure (Core)'!AA$5,'Core Crown Expenditure 93-16'!$B$5:$AD$5,0))</f>
        <v>2146</v>
      </c>
      <c r="AB7" s="164">
        <f>INDEX('Core Crown Expenditure 93-16'!$B$6:$AD$22,MATCH('Aggregated expenditure (Core)'!$B7,'Core Crown Expenditure 93-16'!$A$6:$A$22,0),MATCH('Aggregated expenditure (Core)'!AB$5,'Core Crown Expenditure 93-16'!$B$5:$AD$5,0))</f>
        <v>2265</v>
      </c>
      <c r="AC7" s="164">
        <f>INDEX('Core Crown Expenditure 93-16'!$B$6:$AD$22,MATCH('Aggregated expenditure (Core)'!$B7,'Core Crown Expenditure 93-16'!$A$6:$A$22,0),MATCH('Aggregated expenditure (Core)'!AC$5,'Core Crown Expenditure 93-16'!$B$5:$AD$5,0))</f>
        <v>2452</v>
      </c>
      <c r="AD7" s="164">
        <f>INDEX('Core Crown Expenditure 93-16'!$B$6:$AD$22,MATCH('Aggregated expenditure (Core)'!$B7,'Core Crown Expenditure 93-16'!$A$6:$A$22,0),MATCH('Aggregated expenditure (Core)'!AD$5,'Core Crown Expenditure 93-16'!$B$5:$AD$5,0))</f>
        <v>2549</v>
      </c>
      <c r="AE7" s="164">
        <f>INDEX('Core Crown Expenditure 93-16'!$B$6:$AD$22,MATCH('Aggregated expenditure (Core)'!$B7,'Core Crown Expenditure 93-16'!$A$6:$A$22,0),MATCH('Aggregated expenditure (Core)'!AE$5,'Core Crown Expenditure 93-16'!$B$5:$AD$5,0))</f>
        <v>2642</v>
      </c>
      <c r="AF7" s="164">
        <f>INDEX('Core Crown Expenditure 93-16'!$B$6:$AE$22,MATCH('Aggregated expenditure (Core)'!$B7,'Core Crown Expenditure 93-16'!$A$6:$A$22,0),MATCH('Aggregated expenditure (Core)'!AF$5,'Core Crown Expenditure 93-16'!$B$5:$AE$5,0))</f>
        <v>2727</v>
      </c>
      <c r="AG7" s="164"/>
      <c r="AH7" s="164"/>
    </row>
    <row r="8" spans="1:34" x14ac:dyDescent="0.25">
      <c r="B8" s="24" t="s">
        <v>28</v>
      </c>
      <c r="C8" s="164">
        <f>INDEX('Core Crown Expenditure 93-16'!$B$6:$AD$22,MATCH('Aggregated expenditure (Core)'!$B8,'Core Crown Expenditure 93-16'!$A$6:$A$22,0),MATCH('Aggregated expenditure (Core)'!C$5,'Core Crown Expenditure 93-16'!$B$5:$AD$5,0))</f>
        <v>4539</v>
      </c>
      <c r="D8" s="164">
        <f>INDEX('Core Crown Expenditure 93-16'!$B$6:$AD$22,MATCH('Aggregated expenditure (Core)'!$B8,'Core Crown Expenditure 93-16'!$A$6:$A$22,0),MATCH('Aggregated expenditure (Core)'!D$5,'Core Crown Expenditure 93-16'!$B$5:$AD$5,0))</f>
        <v>4627</v>
      </c>
      <c r="E8" s="164">
        <f>INDEX('Core Crown Expenditure 93-16'!$B$6:$AD$22,MATCH('Aggregated expenditure (Core)'!$B8,'Core Crown Expenditure 93-16'!$A$6:$A$22,0),MATCH('Aggregated expenditure (Core)'!E$5,'Core Crown Expenditure 93-16'!$B$5:$AD$5,0))</f>
        <v>4803</v>
      </c>
      <c r="F8" s="164">
        <f>INDEX('Core Crown Expenditure 93-16'!$B$6:$AD$22,MATCH('Aggregated expenditure (Core)'!$B8,'Core Crown Expenditure 93-16'!$A$6:$A$22,0),MATCH('Aggregated expenditure (Core)'!F$5,'Core Crown Expenditure 93-16'!$B$5:$AD$5,0))</f>
        <v>4949</v>
      </c>
      <c r="G8" s="164">
        <f>INDEX('Core Crown Expenditure 93-16'!$B$6:$AD$22,MATCH('Aggregated expenditure (Core)'!$B8,'Core Crown Expenditure 93-16'!$A$6:$A$22,0),MATCH('Aggregated expenditure (Core)'!G$5,'Core Crown Expenditure 93-16'!$B$5:$AD$5,0))</f>
        <v>5335</v>
      </c>
      <c r="H8" s="164">
        <f>INDEX('Core Crown Expenditure 93-16'!$B$6:$AD$22,MATCH('Aggregated expenditure (Core)'!$B8,'Core Crown Expenditure 93-16'!$A$6:$A$22,0),MATCH('Aggregated expenditure (Core)'!H$5,'Core Crown Expenditure 93-16'!$B$5:$AD$5,0))</f>
        <v>5714</v>
      </c>
      <c r="I8" s="164">
        <f>INDEX('Core Crown Expenditure 93-16'!$B$6:$AD$22,MATCH('Aggregated expenditure (Core)'!$B8,'Core Crown Expenditure 93-16'!$A$6:$A$22,0),MATCH('Aggregated expenditure (Core)'!I$5,'Core Crown Expenditure 93-16'!$B$5:$AD$5,0))</f>
        <v>5899</v>
      </c>
      <c r="J8" s="164">
        <f>INDEX('Core Crown Expenditure 93-16'!$B$6:$AD$22,MATCH('Aggregated expenditure (Core)'!$B8,'Core Crown Expenditure 93-16'!$A$6:$A$22,0),MATCH('Aggregated expenditure (Core)'!J$5,'Core Crown Expenditure 93-16'!$B$5:$AD$5,0))</f>
        <v>6310</v>
      </c>
      <c r="K8" s="164">
        <f>INDEX('Core Crown Expenditure 93-16'!$B$6:$AD$22,MATCH('Aggregated expenditure (Core)'!$B8,'Core Crown Expenditure 93-16'!$A$6:$A$22,0),MATCH('Aggregated expenditure (Core)'!K$5,'Core Crown Expenditure 93-16'!$B$5:$AD$5,0))</f>
        <v>6136</v>
      </c>
      <c r="L8" s="164">
        <f>INDEX('Core Crown Expenditure 93-16'!$B$6:$AD$22,MATCH('Aggregated expenditure (Core)'!$B8,'Core Crown Expenditure 93-16'!$A$6:$A$22,0),MATCH('Aggregated expenditure (Core)'!L$5,'Core Crown Expenditure 93-16'!$B$5:$AD$5,0))</f>
        <v>6473</v>
      </c>
      <c r="M8" s="164">
        <f>INDEX('Core Crown Expenditure 93-16'!$B$6:$AD$22,MATCH('Aggregated expenditure (Core)'!$B8,'Core Crown Expenditure 93-16'!$A$6:$A$22,0),MATCH('Aggregated expenditure (Core)'!M$5,'Core Crown Expenditure 93-16'!$B$5:$AD$5,0))</f>
        <v>7016</v>
      </c>
      <c r="N8" s="164">
        <f>INDEX('Core Crown Expenditure 93-16'!$B$6:$AD$22,MATCH('Aggregated expenditure (Core)'!$B8,'Core Crown Expenditure 93-16'!$A$6:$A$22,0),MATCH('Aggregated expenditure (Core)'!N$5,'Core Crown Expenditure 93-16'!$B$5:$AD$5,0))</f>
        <v>7585</v>
      </c>
      <c r="O8" s="164">
        <f>INDEX('Core Crown Expenditure 93-16'!$B$6:$AD$22,MATCH('Aggregated expenditure (Core)'!$B8,'Core Crown Expenditure 93-16'!$A$6:$A$22,0),MATCH('Aggregated expenditure (Core)'!O$5,'Core Crown Expenditure 93-16'!$B$5:$AD$5,0))</f>
        <v>7930</v>
      </c>
      <c r="P8" s="164">
        <f>INDEX('Core Crown Expenditure 93-16'!$B$6:$AD$22,MATCH('Aggregated expenditure (Core)'!$B8,'Core Crown Expenditure 93-16'!$A$6:$A$22,0),MATCH('Aggregated expenditure (Core)'!P$5,'Core Crown Expenditure 93-16'!$B$5:$AD$5,0))</f>
        <v>9914</v>
      </c>
      <c r="Q8" s="164">
        <f>INDEX('Core Crown Expenditure 93-16'!$B$6:$AD$22,MATCH('Aggregated expenditure (Core)'!$B8,'Core Crown Expenditure 93-16'!$A$6:$A$22,0),MATCH('Aggregated expenditure (Core)'!Q$5,'Core Crown Expenditure 93-16'!$B$5:$AD$5,0))</f>
        <v>9269</v>
      </c>
      <c r="R8" s="164">
        <f>INDEX('Core Crown Expenditure 93-16'!$B$6:$AD$22,MATCH('Aggregated expenditure (Core)'!$B8,'Core Crown Expenditure 93-16'!$A$6:$A$22,0),MATCH('Aggregated expenditure (Core)'!R$5,'Core Crown Expenditure 93-16'!$B$5:$AD$5,0))</f>
        <v>9551</v>
      </c>
      <c r="S8" s="164">
        <f>INDEX('Core Crown Expenditure 93-16'!$B$6:$AD$22,MATCH('Aggregated expenditure (Core)'!$B8,'Core Crown Expenditure 93-16'!$A$6:$A$22,0),MATCH('Aggregated expenditure (Core)'!S$5,'Core Crown Expenditure 93-16'!$B$5:$AD$5,0))</f>
        <v>11455</v>
      </c>
      <c r="T8" s="164">
        <f>INDEX('Core Crown Expenditure 93-16'!$B$6:$AD$22,MATCH('Aggregated expenditure (Core)'!$B8,'Core Crown Expenditure 93-16'!$A$6:$A$22,0),MATCH('Aggregated expenditure (Core)'!T$5,'Core Crown Expenditure 93-16'!$B$5:$AD$5,0))</f>
        <v>11724</v>
      </c>
      <c r="U8" s="164">
        <f>INDEX('Core Crown Expenditure 93-16'!$B$6:$AD$22,MATCH('Aggregated expenditure (Core)'!$B8,'Core Crown Expenditure 93-16'!$A$6:$A$22,0),MATCH('Aggregated expenditure (Core)'!U$5,'Core Crown Expenditure 93-16'!$B$5:$AD$5,0))</f>
        <v>11650</v>
      </c>
      <c r="V8" s="164">
        <f>INDEX('Core Crown Expenditure 93-16'!$B$6:$AD$22,MATCH('Aggregated expenditure (Core)'!$B8,'Core Crown Expenditure 93-16'!$A$6:$A$22,0),MATCH('Aggregated expenditure (Core)'!V$5,'Core Crown Expenditure 93-16'!$B$5:$AD$5,0))</f>
        <v>11654</v>
      </c>
      <c r="W8" s="164">
        <f>INDEX('Core Crown Expenditure 93-16'!$B$6:$AD$22,MATCH('Aggregated expenditure (Core)'!$B8,'Core Crown Expenditure 93-16'!$A$6:$A$22,0),MATCH('Aggregated expenditure (Core)'!W$5,'Core Crown Expenditure 93-16'!$B$5:$AD$5,0))</f>
        <v>12504</v>
      </c>
      <c r="X8" s="164">
        <f>INDEX('Core Crown Expenditure 93-16'!$B$6:$AD$22,MATCH('Aggregated expenditure (Core)'!$B8,'Core Crown Expenditure 93-16'!$A$6:$A$22,0),MATCH('Aggregated expenditure (Core)'!X$5,'Core Crown Expenditure 93-16'!$B$5:$AD$5,0))</f>
        <v>12300</v>
      </c>
      <c r="Y8" s="164">
        <f>INDEX('Core Crown Expenditure 93-16'!$B$6:$AD$22,MATCH('Aggregated expenditure (Core)'!$B8,'Core Crown Expenditure 93-16'!$A$6:$A$22,0),MATCH('Aggregated expenditure (Core)'!Y$5,'Core Crown Expenditure 93-16'!$B$5:$AD$5,0))</f>
        <v>12879</v>
      </c>
      <c r="Z8" s="164">
        <f>INDEX('Core Crown Expenditure 93-16'!$B$6:$AD$22,MATCH('Aggregated expenditure (Core)'!$B8,'Core Crown Expenditure 93-16'!$A$6:$A$22,0),MATCH('Aggregated expenditure (Core)'!Z$5,'Core Crown Expenditure 93-16'!$B$5:$AD$5,0))</f>
        <v>13158</v>
      </c>
      <c r="AA8" s="164">
        <f>INDEX('Core Crown Expenditure 93-16'!$B$6:$AD$22,MATCH('Aggregated expenditure (Core)'!$B8,'Core Crown Expenditure 93-16'!$A$6:$A$22,0),MATCH('Aggregated expenditure (Core)'!AA$5,'Core Crown Expenditure 93-16'!$B$5:$AD$5,0))</f>
        <v>13281</v>
      </c>
      <c r="AB8" s="164">
        <f>INDEX('Core Crown Expenditure 93-16'!$B$6:$AD$22,MATCH('Aggregated expenditure (Core)'!$B8,'Core Crown Expenditure 93-16'!$A$6:$A$22,0),MATCH('Aggregated expenditure (Core)'!AB$5,'Core Crown Expenditure 93-16'!$B$5:$AD$5,0))</f>
        <v>14047</v>
      </c>
      <c r="AC8" s="164">
        <f>INDEX('Core Crown Expenditure 93-16'!$B$6:$AD$22,MATCH('Aggregated expenditure (Core)'!$B8,'Core Crown Expenditure 93-16'!$A$6:$A$22,0),MATCH('Aggregated expenditure (Core)'!AC$5,'Core Crown Expenditure 93-16'!$B$5:$AD$5,0))</f>
        <v>15222</v>
      </c>
      <c r="AD8" s="164">
        <f>INDEX('Core Crown Expenditure 93-16'!$B$6:$AD$22,MATCH('Aggregated expenditure (Core)'!$B8,'Core Crown Expenditure 93-16'!$A$6:$A$22,0),MATCH('Aggregated expenditure (Core)'!AD$5,'Core Crown Expenditure 93-16'!$B$5:$AD$5,0))</f>
        <v>15964</v>
      </c>
      <c r="AE8" s="164">
        <f>INDEX('Core Crown Expenditure 93-16'!$B$6:$AD$22,MATCH('Aggregated expenditure (Core)'!$B8,'Core Crown Expenditure 93-16'!$A$6:$A$22,0),MATCH('Aggregated expenditure (Core)'!AE$5,'Core Crown Expenditure 93-16'!$B$5:$AD$5,0))</f>
        <v>16792</v>
      </c>
      <c r="AF8" s="164">
        <f>INDEX('Core Crown Expenditure 93-16'!$B$6:$AE$22,MATCH('Aggregated expenditure (Core)'!$B8,'Core Crown Expenditure 93-16'!$A$6:$A$22,0),MATCH('Aggregated expenditure (Core)'!AF$5,'Core Crown Expenditure 93-16'!$B$5:$AE$5,0))</f>
        <v>17366</v>
      </c>
      <c r="AG8" s="164"/>
      <c r="AH8" s="164"/>
    </row>
    <row r="9" spans="1:34" x14ac:dyDescent="0.25">
      <c r="B9" s="24" t="s">
        <v>29</v>
      </c>
      <c r="C9" s="164">
        <f>INDEX('Core Crown Expenditure 93-16'!$B$6:$AD$22,MATCH('Aggregated expenditure (Core)'!$B9,'Core Crown Expenditure 93-16'!$A$6:$A$22,0),MATCH('Aggregated expenditure (Core)'!C$5,'Core Crown Expenditure 93-16'!$B$5:$AD$5,0))</f>
        <v>3961</v>
      </c>
      <c r="D9" s="164">
        <f>INDEX('Core Crown Expenditure 93-16'!$B$6:$AD$22,MATCH('Aggregated expenditure (Core)'!$B9,'Core Crown Expenditure 93-16'!$A$6:$A$22,0),MATCH('Aggregated expenditure (Core)'!D$5,'Core Crown Expenditure 93-16'!$B$5:$AD$5,0))</f>
        <v>3788</v>
      </c>
      <c r="E9" s="164">
        <f>INDEX('Core Crown Expenditure 93-16'!$B$6:$AD$22,MATCH('Aggregated expenditure (Core)'!$B9,'Core Crown Expenditure 93-16'!$A$6:$A$22,0),MATCH('Aggregated expenditure (Core)'!E$5,'Core Crown Expenditure 93-16'!$B$5:$AD$5,0))</f>
        <v>3757</v>
      </c>
      <c r="F9" s="164">
        <f>INDEX('Core Crown Expenditure 93-16'!$B$6:$AD$22,MATCH('Aggregated expenditure (Core)'!$B9,'Core Crown Expenditure 93-16'!$A$6:$A$22,0),MATCH('Aggregated expenditure (Core)'!F$5,'Core Crown Expenditure 93-16'!$B$5:$AD$5,0))</f>
        <v>3703</v>
      </c>
      <c r="G9" s="164">
        <f>INDEX('Core Crown Expenditure 93-16'!$B$6:$AD$22,MATCH('Aggregated expenditure (Core)'!$B9,'Core Crown Expenditure 93-16'!$A$6:$A$22,0),MATCH('Aggregated expenditure (Core)'!G$5,'Core Crown Expenditure 93-16'!$B$5:$AD$5,0))</f>
        <v>3072</v>
      </c>
      <c r="H9" s="164">
        <f>INDEX('Core Crown Expenditure 93-16'!$B$6:$AD$22,MATCH('Aggregated expenditure (Core)'!$B9,'Core Crown Expenditure 93-16'!$A$6:$A$22,0),MATCH('Aggregated expenditure (Core)'!H$5,'Core Crown Expenditure 93-16'!$B$5:$AD$5,0))</f>
        <v>2804</v>
      </c>
      <c r="I9" s="164">
        <f>INDEX('Core Crown Expenditure 93-16'!$B$6:$AD$22,MATCH('Aggregated expenditure (Core)'!$B9,'Core Crown Expenditure 93-16'!$A$6:$A$22,0),MATCH('Aggregated expenditure (Core)'!I$5,'Core Crown Expenditure 93-16'!$B$5:$AD$5,0))</f>
        <v>2516</v>
      </c>
      <c r="J9" s="164">
        <f>INDEX('Core Crown Expenditure 93-16'!$B$6:$AD$22,MATCH('Aggregated expenditure (Core)'!$B9,'Core Crown Expenditure 93-16'!$A$6:$A$22,0),MATCH('Aggregated expenditure (Core)'!J$5,'Core Crown Expenditure 93-16'!$B$5:$AD$5,0))</f>
        <v>2373</v>
      </c>
      <c r="K9" s="164">
        <f>INDEX('Core Crown Expenditure 93-16'!$B$6:$AD$22,MATCH('Aggregated expenditure (Core)'!$B9,'Core Crown Expenditure 93-16'!$A$6:$A$22,0),MATCH('Aggregated expenditure (Core)'!K$5,'Core Crown Expenditure 93-16'!$B$5:$AD$5,0))</f>
        <v>2304</v>
      </c>
      <c r="L9" s="164">
        <f>INDEX('Core Crown Expenditure 93-16'!$B$6:$AD$22,MATCH('Aggregated expenditure (Core)'!$B9,'Core Crown Expenditure 93-16'!$A$6:$A$22,0),MATCH('Aggregated expenditure (Core)'!L$5,'Core Crown Expenditure 93-16'!$B$5:$AD$5,0))</f>
        <v>2118</v>
      </c>
      <c r="M9" s="164">
        <f>INDEX('Core Crown Expenditure 93-16'!$B$6:$AD$22,MATCH('Aggregated expenditure (Core)'!$B9,'Core Crown Expenditure 93-16'!$A$6:$A$22,0),MATCH('Aggregated expenditure (Core)'!M$5,'Core Crown Expenditure 93-16'!$B$5:$AD$5,0))</f>
        <v>2360</v>
      </c>
      <c r="N9" s="164">
        <f>INDEX('Core Crown Expenditure 93-16'!$B$6:$AD$22,MATCH('Aggregated expenditure (Core)'!$B9,'Core Crown Expenditure 93-16'!$A$6:$A$22,0),MATCH('Aggregated expenditure (Core)'!N$5,'Core Crown Expenditure 93-16'!$B$5:$AD$5,0))</f>
        <v>2252</v>
      </c>
      <c r="O9" s="164">
        <f>INDEX('Core Crown Expenditure 93-16'!$B$6:$AD$22,MATCH('Aggregated expenditure (Core)'!$B9,'Core Crown Expenditure 93-16'!$A$6:$A$22,0),MATCH('Aggregated expenditure (Core)'!O$5,'Core Crown Expenditure 93-16'!$B$5:$AD$5,0))</f>
        <v>2274</v>
      </c>
      <c r="P9" s="164">
        <f>INDEX('Core Crown Expenditure 93-16'!$B$6:$AD$22,MATCH('Aggregated expenditure (Core)'!$B9,'Core Crown Expenditure 93-16'!$A$6:$A$22,0),MATCH('Aggregated expenditure (Core)'!P$5,'Core Crown Expenditure 93-16'!$B$5:$AD$5,0))</f>
        <v>2356</v>
      </c>
      <c r="Q9" s="164">
        <f>INDEX('Core Crown Expenditure 93-16'!$B$6:$AD$22,MATCH('Aggregated expenditure (Core)'!$B9,'Core Crown Expenditure 93-16'!$A$6:$A$22,0),MATCH('Aggregated expenditure (Core)'!Q$5,'Core Crown Expenditure 93-16'!$B$5:$AD$5,0))</f>
        <v>2329</v>
      </c>
      <c r="R9" s="164">
        <f>INDEX('Core Crown Expenditure 93-16'!$B$6:$AD$22,MATCH('Aggregated expenditure (Core)'!$B9,'Core Crown Expenditure 93-16'!$A$6:$A$22,0),MATCH('Aggregated expenditure (Core)'!R$5,'Core Crown Expenditure 93-16'!$B$5:$AD$5,0))</f>
        <v>2460</v>
      </c>
      <c r="S9" s="164">
        <f>INDEX('Core Crown Expenditure 93-16'!$B$6:$AD$22,MATCH('Aggregated expenditure (Core)'!$B9,'Core Crown Expenditure 93-16'!$A$6:$A$22,0),MATCH('Aggregated expenditure (Core)'!S$5,'Core Crown Expenditure 93-16'!$B$5:$AD$5,0))</f>
        <v>2429</v>
      </c>
      <c r="T9" s="164">
        <f>INDEX('Core Crown Expenditure 93-16'!$B$6:$AD$22,MATCH('Aggregated expenditure (Core)'!$B9,'Core Crown Expenditure 93-16'!$A$6:$A$22,0),MATCH('Aggregated expenditure (Core)'!T$5,'Core Crown Expenditure 93-16'!$B$5:$AD$5,0))</f>
        <v>2311</v>
      </c>
      <c r="U9" s="164">
        <f>INDEX('Core Crown Expenditure 93-16'!$B$6:$AD$22,MATCH('Aggregated expenditure (Core)'!$B9,'Core Crown Expenditure 93-16'!$A$6:$A$22,0),MATCH('Aggregated expenditure (Core)'!U$5,'Core Crown Expenditure 93-16'!$B$5:$AD$5,0))</f>
        <v>3066</v>
      </c>
      <c r="V9" s="164">
        <f>INDEX('Core Crown Expenditure 93-16'!$B$6:$AD$22,MATCH('Aggregated expenditure (Core)'!$B9,'Core Crown Expenditure 93-16'!$A$6:$A$22,0),MATCH('Aggregated expenditure (Core)'!V$5,'Core Crown Expenditure 93-16'!$B$5:$AD$5,0))</f>
        <v>3511</v>
      </c>
      <c r="W9" s="164">
        <f>INDEX('Core Crown Expenditure 93-16'!$B$6:$AD$22,MATCH('Aggregated expenditure (Core)'!$B9,'Core Crown Expenditure 93-16'!$A$6:$A$22,0),MATCH('Aggregated expenditure (Core)'!W$5,'Core Crown Expenditure 93-16'!$B$5:$AD$5,0))</f>
        <v>3619</v>
      </c>
      <c r="X9" s="164">
        <f>INDEX('Core Crown Expenditure 93-16'!$B$6:$AD$22,MATCH('Aggregated expenditure (Core)'!$B9,'Core Crown Expenditure 93-16'!$A$6:$A$22,0),MATCH('Aggregated expenditure (Core)'!X$5,'Core Crown Expenditure 93-16'!$B$5:$AD$5,0))</f>
        <v>3620</v>
      </c>
      <c r="Y9" s="164">
        <f>INDEX('Core Crown Expenditure 93-16'!$B$6:$AD$22,MATCH('Aggregated expenditure (Core)'!$B9,'Core Crown Expenditure 93-16'!$A$6:$A$22,0),MATCH('Aggregated expenditure (Core)'!Y$5,'Core Crown Expenditure 93-16'!$B$5:$AD$5,0))</f>
        <v>3783</v>
      </c>
      <c r="Z9" s="164">
        <f>INDEX('Core Crown Expenditure 93-16'!$B$6:$AD$22,MATCH('Aggregated expenditure (Core)'!$B9,'Core Crown Expenditure 93-16'!$A$6:$A$22,0),MATCH('Aggregated expenditure (Core)'!Z$5,'Core Crown Expenditure 93-16'!$B$5:$AD$5,0))</f>
        <v>3590</v>
      </c>
      <c r="AA9" s="164">
        <f>INDEX('Core Crown Expenditure 93-16'!$B$6:$AD$22,MATCH('Aggregated expenditure (Core)'!$B9,'Core Crown Expenditure 93-16'!$A$6:$A$22,0),MATCH('Aggregated expenditure (Core)'!AA$5,'Core Crown Expenditure 93-16'!$B$5:$AD$5,0))</f>
        <v>3534</v>
      </c>
      <c r="AB9" s="164">
        <f>INDEX('Core Crown Expenditure 93-16'!$B$6:$AD$22,MATCH('Aggregated expenditure (Core)'!$B9,'Core Crown Expenditure 93-16'!$A$6:$A$22,0),MATCH('Aggregated expenditure (Core)'!AB$5,'Core Crown Expenditure 93-16'!$B$5:$AD$5,0))</f>
        <v>3513</v>
      </c>
      <c r="AC9" s="164">
        <f>INDEX('Core Crown Expenditure 93-16'!$B$6:$AD$22,MATCH('Aggregated expenditure (Core)'!$B9,'Core Crown Expenditure 93-16'!$A$6:$A$22,0),MATCH('Aggregated expenditure (Core)'!AC$5,'Core Crown Expenditure 93-16'!$B$5:$AD$5,0))</f>
        <v>3460</v>
      </c>
      <c r="AD9" s="164">
        <f>INDEX('Core Crown Expenditure 93-16'!$B$6:$AD$22,MATCH('Aggregated expenditure (Core)'!$B9,'Core Crown Expenditure 93-16'!$A$6:$A$22,0),MATCH('Aggregated expenditure (Core)'!AD$5,'Core Crown Expenditure 93-16'!$B$5:$AD$5,0))</f>
        <v>3452</v>
      </c>
      <c r="AE9" s="164">
        <f>INDEX('Core Crown Expenditure 93-16'!$B$6:$AD$22,MATCH('Aggregated expenditure (Core)'!$B9,'Core Crown Expenditure 93-16'!$A$6:$A$22,0),MATCH('Aggregated expenditure (Core)'!AE$5,'Core Crown Expenditure 93-16'!$B$5:$AD$5,0))</f>
        <v>3508</v>
      </c>
      <c r="AF9" s="164">
        <f>INDEX('Core Crown Expenditure 93-16'!$B$6:$AE$22,MATCH('Aggregated expenditure (Core)'!$B9,'Core Crown Expenditure 93-16'!$A$6:$A$22,0),MATCH('Aggregated expenditure (Core)'!AF$5,'Core Crown Expenditure 93-16'!$B$5:$AE$5,0))</f>
        <v>3304</v>
      </c>
      <c r="AG9" s="164"/>
      <c r="AH9" s="164"/>
    </row>
    <row r="10" spans="1:34" x14ac:dyDescent="0.25">
      <c r="B10" s="24" t="s">
        <v>30</v>
      </c>
      <c r="C10" s="164">
        <f>INDEX('Core Crown Expenditure 93-16'!$B$6:$AD$22,MATCH('Aggregated expenditure (Core)'!$B10,'Core Crown Expenditure 93-16'!$A$6:$A$22,0),MATCH('Aggregated expenditure (Core)'!C$5,'Core Crown Expenditure 93-16'!$B$5:$AD$5,0))</f>
        <v>4168</v>
      </c>
      <c r="D10" s="164">
        <f>INDEX('Core Crown Expenditure 93-16'!$B$6:$AD$22,MATCH('Aggregated expenditure (Core)'!$B10,'Core Crown Expenditure 93-16'!$A$6:$A$22,0),MATCH('Aggregated expenditure (Core)'!D$5,'Core Crown Expenditure 93-16'!$B$5:$AD$5,0))</f>
        <v>4602</v>
      </c>
      <c r="E10" s="164">
        <f>INDEX('Core Crown Expenditure 93-16'!$B$6:$AD$22,MATCH('Aggregated expenditure (Core)'!$B10,'Core Crown Expenditure 93-16'!$A$6:$A$22,0),MATCH('Aggregated expenditure (Core)'!E$5,'Core Crown Expenditure 93-16'!$B$5:$AD$5,0))</f>
        <v>4886</v>
      </c>
      <c r="F10" s="164">
        <f>INDEX('Core Crown Expenditure 93-16'!$B$6:$AD$22,MATCH('Aggregated expenditure (Core)'!$B10,'Core Crown Expenditure 93-16'!$A$6:$A$22,0),MATCH('Aggregated expenditure (Core)'!F$5,'Core Crown Expenditure 93-16'!$B$5:$AD$5,0))</f>
        <v>5228</v>
      </c>
      <c r="G10" s="164">
        <f>INDEX('Core Crown Expenditure 93-16'!$B$6:$AD$22,MATCH('Aggregated expenditure (Core)'!$B10,'Core Crown Expenditure 93-16'!$A$6:$A$22,0),MATCH('Aggregated expenditure (Core)'!G$5,'Core Crown Expenditure 93-16'!$B$5:$AD$5,0))</f>
        <v>5626</v>
      </c>
      <c r="H10" s="164">
        <f>INDEX('Core Crown Expenditure 93-16'!$B$6:$AD$22,MATCH('Aggregated expenditure (Core)'!$B10,'Core Crown Expenditure 93-16'!$A$6:$A$22,0),MATCH('Aggregated expenditure (Core)'!H$5,'Core Crown Expenditure 93-16'!$B$5:$AD$5,0))</f>
        <v>6001</v>
      </c>
      <c r="I10" s="164">
        <f>INDEX('Core Crown Expenditure 93-16'!$B$6:$AD$22,MATCH('Aggregated expenditure (Core)'!$B10,'Core Crown Expenditure 93-16'!$A$6:$A$22,0),MATCH('Aggregated expenditure (Core)'!I$5,'Core Crown Expenditure 93-16'!$B$5:$AD$5,0))</f>
        <v>6573</v>
      </c>
      <c r="J10" s="164">
        <f>INDEX('Core Crown Expenditure 93-16'!$B$6:$AD$22,MATCH('Aggregated expenditure (Core)'!$B10,'Core Crown Expenditure 93-16'!$A$6:$A$22,0),MATCH('Aggregated expenditure (Core)'!J$5,'Core Crown Expenditure 93-16'!$B$5:$AD$5,0))</f>
        <v>6874</v>
      </c>
      <c r="K10" s="164">
        <f>INDEX('Core Crown Expenditure 93-16'!$B$6:$AD$22,MATCH('Aggregated expenditure (Core)'!$B10,'Core Crown Expenditure 93-16'!$A$6:$A$22,0),MATCH('Aggregated expenditure (Core)'!K$5,'Core Crown Expenditure 93-16'!$B$5:$AD$5,0))</f>
        <v>6660</v>
      </c>
      <c r="L10" s="164">
        <f>INDEX('Core Crown Expenditure 93-16'!$B$6:$AD$22,MATCH('Aggregated expenditure (Core)'!$B10,'Core Crown Expenditure 93-16'!$A$6:$A$22,0),MATCH('Aggregated expenditure (Core)'!L$5,'Core Crown Expenditure 93-16'!$B$5:$AD$5,0))</f>
        <v>7032</v>
      </c>
      <c r="M10" s="164">
        <f>INDEX('Core Crown Expenditure 93-16'!$B$6:$AD$22,MATCH('Aggregated expenditure (Core)'!$B10,'Core Crown Expenditure 93-16'!$A$6:$A$22,0),MATCH('Aggregated expenditure (Core)'!M$5,'Core Crown Expenditure 93-16'!$B$5:$AD$5,0))</f>
        <v>7501</v>
      </c>
      <c r="N10" s="164">
        <f>INDEX('Core Crown Expenditure 93-16'!$B$6:$AD$22,MATCH('Aggregated expenditure (Core)'!$B10,'Core Crown Expenditure 93-16'!$A$6:$A$22,0),MATCH('Aggregated expenditure (Core)'!N$5,'Core Crown Expenditure 93-16'!$B$5:$AD$5,0))</f>
        <v>8111</v>
      </c>
      <c r="O10" s="164">
        <f>INDEX('Core Crown Expenditure 93-16'!$B$6:$AD$22,MATCH('Aggregated expenditure (Core)'!$B10,'Core Crown Expenditure 93-16'!$A$6:$A$22,0),MATCH('Aggregated expenditure (Core)'!O$5,'Core Crown Expenditure 93-16'!$B$5:$AD$5,0))</f>
        <v>8813</v>
      </c>
      <c r="P10" s="164">
        <f>INDEX('Core Crown Expenditure 93-16'!$B$6:$AD$22,MATCH('Aggregated expenditure (Core)'!$B10,'Core Crown Expenditure 93-16'!$A$6:$A$22,0),MATCH('Aggregated expenditure (Core)'!P$5,'Core Crown Expenditure 93-16'!$B$5:$AD$5,0))</f>
        <v>9547</v>
      </c>
      <c r="Q10" s="164">
        <f>INDEX('Core Crown Expenditure 93-16'!$B$6:$AD$22,MATCH('Aggregated expenditure (Core)'!$B10,'Core Crown Expenditure 93-16'!$A$6:$A$22,0),MATCH('Aggregated expenditure (Core)'!Q$5,'Core Crown Expenditure 93-16'!$B$5:$AD$5,0))</f>
        <v>10355</v>
      </c>
      <c r="R10" s="164">
        <f>INDEX('Core Crown Expenditure 93-16'!$B$6:$AD$22,MATCH('Aggregated expenditure (Core)'!$B10,'Core Crown Expenditure 93-16'!$A$6:$A$22,0),MATCH('Aggregated expenditure (Core)'!R$5,'Core Crown Expenditure 93-16'!$B$5:$AD$5,0))</f>
        <v>11297</v>
      </c>
      <c r="S10" s="164">
        <f>INDEX('Core Crown Expenditure 93-16'!$B$6:$AD$22,MATCH('Aggregated expenditure (Core)'!$B10,'Core Crown Expenditure 93-16'!$A$6:$A$22,0),MATCH('Aggregated expenditure (Core)'!S$5,'Core Crown Expenditure 93-16'!$B$5:$AD$5,0))</f>
        <v>12368</v>
      </c>
      <c r="T10" s="164">
        <f>INDEX('Core Crown Expenditure 93-16'!$B$6:$AD$22,MATCH('Aggregated expenditure (Core)'!$B10,'Core Crown Expenditure 93-16'!$A$6:$A$22,0),MATCH('Aggregated expenditure (Core)'!T$5,'Core Crown Expenditure 93-16'!$B$5:$AD$5,0))</f>
        <v>13128</v>
      </c>
      <c r="U10" s="164">
        <f>INDEX('Core Crown Expenditure 93-16'!$B$6:$AD$22,MATCH('Aggregated expenditure (Core)'!$B10,'Core Crown Expenditure 93-16'!$A$6:$A$22,0),MATCH('Aggregated expenditure (Core)'!U$5,'Core Crown Expenditure 93-16'!$B$5:$AD$5,0))</f>
        <v>13753</v>
      </c>
      <c r="V10" s="164">
        <f>INDEX('Core Crown Expenditure 93-16'!$B$6:$AD$22,MATCH('Aggregated expenditure (Core)'!$B10,'Core Crown Expenditure 93-16'!$A$6:$A$22,0),MATCH('Aggregated expenditure (Core)'!V$5,'Core Crown Expenditure 93-16'!$B$5:$AD$5,0))</f>
        <v>14160</v>
      </c>
      <c r="W10" s="164">
        <f>INDEX('Core Crown Expenditure 93-16'!$B$6:$AD$22,MATCH('Aggregated expenditure (Core)'!$B10,'Core Crown Expenditure 93-16'!$A$6:$A$22,0),MATCH('Aggregated expenditure (Core)'!W$5,'Core Crown Expenditure 93-16'!$B$5:$AD$5,0))</f>
        <v>14498</v>
      </c>
      <c r="X10" s="164">
        <f>INDEX('Core Crown Expenditure 93-16'!$B$6:$AD$22,MATCH('Aggregated expenditure (Core)'!$B10,'Core Crown Expenditure 93-16'!$A$6:$A$22,0),MATCH('Aggregated expenditure (Core)'!X$5,'Core Crown Expenditure 93-16'!$B$5:$AD$5,0))</f>
        <v>14898</v>
      </c>
      <c r="Y10" s="164">
        <f>INDEX('Core Crown Expenditure 93-16'!$B$6:$AD$22,MATCH('Aggregated expenditure (Core)'!$B10,'Core Crown Expenditure 93-16'!$A$6:$A$22,0),MATCH('Aggregated expenditure (Core)'!Y$5,'Core Crown Expenditure 93-16'!$B$5:$AD$5,0))</f>
        <v>15058</v>
      </c>
      <c r="Z10" s="164">
        <f>INDEX('Core Crown Expenditure 93-16'!$B$6:$AD$22,MATCH('Aggregated expenditure (Core)'!$B10,'Core Crown Expenditure 93-16'!$A$6:$A$22,0),MATCH('Aggregated expenditure (Core)'!Z$5,'Core Crown Expenditure 93-16'!$B$5:$AD$5,0))</f>
        <v>15626</v>
      </c>
      <c r="AA10" s="164">
        <f>INDEX('Core Crown Expenditure 93-16'!$B$6:$AD$22,MATCH('Aggregated expenditure (Core)'!$B10,'Core Crown Expenditure 93-16'!$A$6:$A$22,0),MATCH('Aggregated expenditure (Core)'!AA$5,'Core Crown Expenditure 93-16'!$B$5:$AD$5,0))</f>
        <v>16222.999999999998</v>
      </c>
      <c r="AB10" s="164">
        <f>INDEX('Core Crown Expenditure 93-16'!$B$6:$AD$22,MATCH('Aggregated expenditure (Core)'!$B10,'Core Crown Expenditure 93-16'!$A$6:$A$22,0),MATCH('Aggregated expenditure (Core)'!AB$5,'Core Crown Expenditure 93-16'!$B$5:$AD$5,0))</f>
        <v>16776</v>
      </c>
      <c r="AC10" s="164">
        <f>INDEX('Core Crown Expenditure 93-16'!$B$6:$AD$22,MATCH('Aggregated expenditure (Core)'!$B10,'Core Crown Expenditure 93-16'!$A$6:$A$22,0),MATCH('Aggregated expenditure (Core)'!AC$5,'Core Crown Expenditure 93-16'!$B$5:$AD$5,0))</f>
        <v>17929</v>
      </c>
      <c r="AD10" s="164">
        <f>INDEX('Core Crown Expenditure 93-16'!$B$6:$AD$22,MATCH('Aggregated expenditure (Core)'!$B10,'Core Crown Expenditure 93-16'!$A$6:$A$22,0),MATCH('Aggregated expenditure (Core)'!AD$5,'Core Crown Expenditure 93-16'!$B$5:$AD$5,0))</f>
        <v>18610</v>
      </c>
      <c r="AE10" s="164">
        <f>INDEX('Core Crown Expenditure 93-16'!$B$6:$AD$22,MATCH('Aggregated expenditure (Core)'!$B10,'Core Crown Expenditure 93-16'!$A$6:$A$22,0),MATCH('Aggregated expenditure (Core)'!AE$5,'Core Crown Expenditure 93-16'!$B$5:$AD$5,0))</f>
        <v>19204</v>
      </c>
      <c r="AF10" s="164">
        <f>INDEX('Core Crown Expenditure 93-16'!$B$6:$AE$22,MATCH('Aggregated expenditure (Core)'!$B10,'Core Crown Expenditure 93-16'!$A$6:$A$22,0),MATCH('Aggregated expenditure (Core)'!AF$5,'Core Crown Expenditure 93-16'!$B$5:$AE$5,0))</f>
        <v>19924</v>
      </c>
      <c r="AG10" s="164"/>
      <c r="AH10" s="164"/>
    </row>
    <row r="11" spans="1:34" x14ac:dyDescent="0.25">
      <c r="B11" s="24" t="s">
        <v>31</v>
      </c>
      <c r="C11" s="164">
        <f>INDEX('Core Crown Expenditure 93-16'!$B$6:$AD$22,MATCH('Aggregated expenditure (Core)'!$B11,'Core Crown Expenditure 93-16'!$A$6:$A$22,0),MATCH('Aggregated expenditure (Core)'!C$5,'Core Crown Expenditure 93-16'!$B$5:$AD$5,0))</f>
        <v>1054</v>
      </c>
      <c r="D11" s="164">
        <f>INDEX('Core Crown Expenditure 93-16'!$B$6:$AD$22,MATCH('Aggregated expenditure (Core)'!$B11,'Core Crown Expenditure 93-16'!$A$6:$A$22,0),MATCH('Aggregated expenditure (Core)'!D$5,'Core Crown Expenditure 93-16'!$B$5:$AD$5,0))</f>
        <v>1150</v>
      </c>
      <c r="E11" s="164">
        <f>INDEX('Core Crown Expenditure 93-16'!$B$6:$AD$22,MATCH('Aggregated expenditure (Core)'!$B11,'Core Crown Expenditure 93-16'!$A$6:$A$22,0),MATCH('Aggregated expenditure (Core)'!E$5,'Core Crown Expenditure 93-16'!$B$5:$AD$5,0))</f>
        <v>1190</v>
      </c>
      <c r="F11" s="164">
        <f>INDEX('Core Crown Expenditure 93-16'!$B$6:$AD$22,MATCH('Aggregated expenditure (Core)'!$B11,'Core Crown Expenditure 93-16'!$A$6:$A$22,0),MATCH('Aggregated expenditure (Core)'!F$5,'Core Crown Expenditure 93-16'!$B$5:$AD$5,0))</f>
        <v>1234</v>
      </c>
      <c r="G11" s="164">
        <f>INDEX('Core Crown Expenditure 93-16'!$B$6:$AD$22,MATCH('Aggregated expenditure (Core)'!$B11,'Core Crown Expenditure 93-16'!$A$6:$A$22,0),MATCH('Aggregated expenditure (Core)'!G$5,'Core Crown Expenditure 93-16'!$B$5:$AD$5,0))</f>
        <v>1281</v>
      </c>
      <c r="H11" s="164">
        <f>INDEX('Core Crown Expenditure 93-16'!$B$6:$AD$22,MATCH('Aggregated expenditure (Core)'!$B11,'Core Crown Expenditure 93-16'!$A$6:$A$22,0),MATCH('Aggregated expenditure (Core)'!H$5,'Core Crown Expenditure 93-16'!$B$5:$AD$5,0))</f>
        <v>1345</v>
      </c>
      <c r="I11" s="164">
        <f>INDEX('Core Crown Expenditure 93-16'!$B$6:$AD$22,MATCH('Aggregated expenditure (Core)'!$B11,'Core Crown Expenditure 93-16'!$A$6:$A$22,0),MATCH('Aggregated expenditure (Core)'!I$5,'Core Crown Expenditure 93-16'!$B$5:$AD$5,0))</f>
        <v>1499</v>
      </c>
      <c r="J11" s="164">
        <f>INDEX('Core Crown Expenditure 93-16'!$B$6:$AD$22,MATCH('Aggregated expenditure (Core)'!$B11,'Core Crown Expenditure 93-16'!$A$6:$A$22,0),MATCH('Aggregated expenditure (Core)'!J$5,'Core Crown Expenditure 93-16'!$B$5:$AD$5,0))</f>
        <v>1531</v>
      </c>
      <c r="K11" s="164">
        <f>INDEX('Core Crown Expenditure 93-16'!$B$6:$AD$22,MATCH('Aggregated expenditure (Core)'!$B11,'Core Crown Expenditure 93-16'!$A$6:$A$22,0),MATCH('Aggregated expenditure (Core)'!K$5,'Core Crown Expenditure 93-16'!$B$5:$AD$5,0))</f>
        <v>1541</v>
      </c>
      <c r="L11" s="164">
        <f>INDEX('Core Crown Expenditure 93-16'!$B$6:$AD$22,MATCH('Aggregated expenditure (Core)'!$B11,'Core Crown Expenditure 93-16'!$A$6:$A$22,0),MATCH('Aggregated expenditure (Core)'!L$5,'Core Crown Expenditure 93-16'!$B$5:$AD$5,0))</f>
        <v>1733</v>
      </c>
      <c r="M11" s="164">
        <f>INDEX('Core Crown Expenditure 93-16'!$B$6:$AD$22,MATCH('Aggregated expenditure (Core)'!$B11,'Core Crown Expenditure 93-16'!$A$6:$A$22,0),MATCH('Aggregated expenditure (Core)'!M$5,'Core Crown Expenditure 93-16'!$B$5:$AD$5,0))</f>
        <v>1734</v>
      </c>
      <c r="N11" s="164">
        <f>INDEX('Core Crown Expenditure 93-16'!$B$6:$AD$22,MATCH('Aggregated expenditure (Core)'!$B11,'Core Crown Expenditure 93-16'!$A$6:$A$22,0),MATCH('Aggregated expenditure (Core)'!N$5,'Core Crown Expenditure 93-16'!$B$5:$AD$5,0))</f>
        <v>1843</v>
      </c>
      <c r="O11" s="164">
        <f>INDEX('Core Crown Expenditure 93-16'!$B$6:$AD$22,MATCH('Aggregated expenditure (Core)'!$B11,'Core Crown Expenditure 93-16'!$A$6:$A$22,0),MATCH('Aggregated expenditure (Core)'!O$5,'Core Crown Expenditure 93-16'!$B$5:$AD$5,0))</f>
        <v>1977</v>
      </c>
      <c r="P11" s="164">
        <f>INDEX('Core Crown Expenditure 93-16'!$B$6:$AD$22,MATCH('Aggregated expenditure (Core)'!$B11,'Core Crown Expenditure 93-16'!$A$6:$A$22,0),MATCH('Aggregated expenditure (Core)'!P$5,'Core Crown Expenditure 93-16'!$B$5:$AD$5,0))</f>
        <v>2235</v>
      </c>
      <c r="Q11" s="164">
        <f>INDEX('Core Crown Expenditure 93-16'!$B$6:$AD$22,MATCH('Aggregated expenditure (Core)'!$B11,'Core Crown Expenditure 93-16'!$A$6:$A$22,0),MATCH('Aggregated expenditure (Core)'!Q$5,'Core Crown Expenditure 93-16'!$B$5:$AD$5,0))</f>
        <v>2699</v>
      </c>
      <c r="R11" s="164">
        <f>INDEX('Core Crown Expenditure 93-16'!$B$6:$AD$22,MATCH('Aggregated expenditure (Core)'!$B11,'Core Crown Expenditure 93-16'!$A$6:$A$22,0),MATCH('Aggregated expenditure (Core)'!R$5,'Core Crown Expenditure 93-16'!$B$5:$AD$5,0))</f>
        <v>2894</v>
      </c>
      <c r="S11" s="164">
        <f>INDEX('Core Crown Expenditure 93-16'!$B$6:$AD$22,MATCH('Aggregated expenditure (Core)'!$B11,'Core Crown Expenditure 93-16'!$A$6:$A$22,0),MATCH('Aggregated expenditure (Core)'!S$5,'Core Crown Expenditure 93-16'!$B$5:$AD$5,0))</f>
        <v>3089</v>
      </c>
      <c r="T11" s="164">
        <f>INDEX('Core Crown Expenditure 93-16'!$B$6:$AD$22,MATCH('Aggregated expenditure (Core)'!$B11,'Core Crown Expenditure 93-16'!$A$6:$A$22,0),MATCH('Aggregated expenditure (Core)'!T$5,'Core Crown Expenditure 93-16'!$B$5:$AD$5,0))</f>
        <v>3191</v>
      </c>
      <c r="U11" s="164">
        <f>INDEX('Core Crown Expenditure 93-16'!$B$6:$AD$22,MATCH('Aggregated expenditure (Core)'!$B11,'Core Crown Expenditure 93-16'!$A$6:$A$22,0),MATCH('Aggregated expenditure (Core)'!U$5,'Core Crown Expenditure 93-16'!$B$5:$AD$5,0))</f>
        <v>3382</v>
      </c>
      <c r="V11" s="164">
        <f>INDEX('Core Crown Expenditure 93-16'!$B$6:$AD$22,MATCH('Aggregated expenditure (Core)'!$B11,'Core Crown Expenditure 93-16'!$A$6:$A$22,0),MATCH('Aggregated expenditure (Core)'!V$5,'Core Crown Expenditure 93-16'!$B$5:$AD$5,0))</f>
        <v>3403</v>
      </c>
      <c r="W11" s="164">
        <f>INDEX('Core Crown Expenditure 93-16'!$B$6:$AD$22,MATCH('Aggregated expenditure (Core)'!$B11,'Core Crown Expenditure 93-16'!$A$6:$A$22,0),MATCH('Aggregated expenditure (Core)'!W$5,'Core Crown Expenditure 93-16'!$B$5:$AD$5,0))</f>
        <v>3456</v>
      </c>
      <c r="X11" s="164">
        <f>INDEX('Core Crown Expenditure 93-16'!$B$6:$AD$22,MATCH('Aggregated expenditure (Core)'!$B11,'Core Crown Expenditure 93-16'!$A$6:$A$22,0),MATCH('Aggregated expenditure (Core)'!X$5,'Core Crown Expenditure 93-16'!$B$5:$AD$5,0))</f>
        <v>3501</v>
      </c>
      <c r="Y11" s="164">
        <f>INDEX('Core Crown Expenditure 93-16'!$B$6:$AD$22,MATCH('Aggregated expenditure (Core)'!$B11,'Core Crown Expenditure 93-16'!$A$6:$A$22,0),MATCH('Aggregated expenditure (Core)'!Y$5,'Core Crown Expenditure 93-16'!$B$5:$AD$5,0))</f>
        <v>3515</v>
      </c>
      <c r="Z11" s="164">
        <f>INDEX('Core Crown Expenditure 93-16'!$B$6:$AD$22,MATCH('Aggregated expenditure (Core)'!$B11,'Core Crown Expenditure 93-16'!$A$6:$A$22,0),MATCH('Aggregated expenditure (Core)'!Z$5,'Core Crown Expenditure 93-16'!$B$5:$AD$5,0))</f>
        <v>3648</v>
      </c>
      <c r="AA11" s="164">
        <f>INDEX('Core Crown Expenditure 93-16'!$B$6:$AD$22,MATCH('Aggregated expenditure (Core)'!$B11,'Core Crown Expenditure 93-16'!$A$6:$A$22,0),MATCH('Aggregated expenditure (Core)'!AA$5,'Core Crown Expenditure 93-16'!$B$5:$AD$5,0))</f>
        <v>3882</v>
      </c>
      <c r="AB11" s="164">
        <f>INDEX('Core Crown Expenditure 93-16'!$B$6:$AD$22,MATCH('Aggregated expenditure (Core)'!$B11,'Core Crown Expenditure 93-16'!$A$6:$A$22,0),MATCH('Aggregated expenditure (Core)'!AB$5,'Core Crown Expenditure 93-16'!$B$5:$AD$5,0))</f>
        <v>4051</v>
      </c>
      <c r="AC11" s="164">
        <f>INDEX('Core Crown Expenditure 93-16'!$B$6:$AD$22,MATCH('Aggregated expenditure (Core)'!$B11,'Core Crown Expenditure 93-16'!$A$6:$A$22,0),MATCH('Aggregated expenditure (Core)'!AC$5,'Core Crown Expenditure 93-16'!$B$5:$AD$5,0))</f>
        <v>4328</v>
      </c>
      <c r="AD11" s="164">
        <f>INDEX('Core Crown Expenditure 93-16'!$B$6:$AD$22,MATCH('Aggregated expenditure (Core)'!$B11,'Core Crown Expenditure 93-16'!$A$6:$A$22,0),MATCH('Aggregated expenditure (Core)'!AD$5,'Core Crown Expenditure 93-16'!$B$5:$AD$5,0))</f>
        <v>4522</v>
      </c>
      <c r="AE11" s="164">
        <f>INDEX('Core Crown Expenditure 93-16'!$B$6:$AD$22,MATCH('Aggregated expenditure (Core)'!$B11,'Core Crown Expenditure 93-16'!$A$6:$A$22,0),MATCH('Aggregated expenditure (Core)'!AE$5,'Core Crown Expenditure 93-16'!$B$5:$AD$5,0))</f>
        <v>4705</v>
      </c>
      <c r="AF11" s="164">
        <f>INDEX('Core Crown Expenditure 93-16'!$B$6:$AE$22,MATCH('Aggregated expenditure (Core)'!$B11,'Core Crown Expenditure 93-16'!$A$6:$A$22,0),MATCH('Aggregated expenditure (Core)'!AF$5,'Core Crown Expenditure 93-16'!$B$5:$AE$5,0))</f>
        <v>4866</v>
      </c>
      <c r="AG11" s="164"/>
      <c r="AH11" s="164"/>
    </row>
    <row r="12" spans="1:34" x14ac:dyDescent="0.25">
      <c r="A12" s="24" t="s">
        <v>131</v>
      </c>
      <c r="B12" s="24" t="s">
        <v>32</v>
      </c>
      <c r="C12" s="40">
        <f>INDEX('Core Crown Expenditure 93-16'!$B$6:$AD$22,MATCH('Aggregated expenditure (Core)'!$A12,'Core Crown Expenditure 93-16'!$A$6:$A$22,0),MATCH('Aggregated expenditure (Core)'!C$5,'Core Crown Expenditure 93-16'!$B$5:$AD$5,0))-C13</f>
        <v>6909.9506738479895</v>
      </c>
      <c r="D12" s="40">
        <f>INDEX('Core Crown Expenditure 93-16'!$B$6:$AD$22,MATCH('Aggregated expenditure (Core)'!$A12,'Core Crown Expenditure 93-16'!$A$6:$A$22,0),MATCH('Aggregated expenditure (Core)'!D$5,'Core Crown Expenditure 93-16'!$B$5:$AD$5,0))-D13</f>
        <v>6525.0839454989145</v>
      </c>
      <c r="E12" s="40">
        <f>INDEX('Core Crown Expenditure 93-16'!$B$6:$AD$22,MATCH('Aggregated expenditure (Core)'!$A12,'Core Crown Expenditure 93-16'!$A$6:$A$22,0),MATCH('Aggregated expenditure (Core)'!E$5,'Core Crown Expenditure 93-16'!$B$5:$AD$5,0))-E13</f>
        <v>6788.9499003460223</v>
      </c>
      <c r="F12" s="40">
        <f>INDEX('Core Crown Expenditure 93-16'!$B$6:$AD$22,MATCH('Aggregated expenditure (Core)'!$A12,'Core Crown Expenditure 93-16'!$A$6:$A$22,0),MATCH('Aggregated expenditure (Core)'!F$5,'Core Crown Expenditure 93-16'!$B$5:$AD$5,0))-F13</f>
        <v>7220.1084431504578</v>
      </c>
      <c r="G12" s="40">
        <f>INDEX('Core Crown Expenditure 93-16'!$B$6:$AD$22,MATCH('Aggregated expenditure (Core)'!$A12,'Core Crown Expenditure 93-16'!$A$6:$A$22,0),MATCH('Aggregated expenditure (Core)'!G$5,'Core Crown Expenditure 93-16'!$B$5:$AD$5,0))-G13</f>
        <v>7533.4843993323702</v>
      </c>
      <c r="H12" s="40">
        <f>INDEX('Core Crown Expenditure 93-16'!$B$6:$AD$22,MATCH('Aggregated expenditure (Core)'!$A12,'Core Crown Expenditure 93-16'!$A$6:$A$22,0),MATCH('Aggregated expenditure (Core)'!H$5,'Core Crown Expenditure 93-16'!$B$5:$AD$5,0))-H13</f>
        <v>7403</v>
      </c>
      <c r="I12" s="40">
        <f>INDEX('Core Crown Expenditure 93-16'!$B$6:$AD$22,MATCH('Aggregated expenditure (Core)'!$A12,'Core Crown Expenditure 93-16'!$A$6:$A$22,0),MATCH('Aggregated expenditure (Core)'!I$5,'Core Crown Expenditure 93-16'!$B$5:$AD$5,0))-I13</f>
        <v>7835</v>
      </c>
      <c r="J12" s="40">
        <f>INDEX('Core Crown Expenditure 93-16'!$B$6:$AD$22,MATCH('Aggregated expenditure (Core)'!$A12,'Core Crown Expenditure 93-16'!$A$6:$A$22,0),MATCH('Aggregated expenditure (Core)'!J$5,'Core Crown Expenditure 93-16'!$B$5:$AD$5,0))-J13</f>
        <v>7828</v>
      </c>
      <c r="K12" s="40">
        <f>INDEX('Core Crown Expenditure 93-16'!$B$6:$AD$22,MATCH('Aggregated expenditure (Core)'!$A12,'Core Crown Expenditure 93-16'!$A$6:$A$22,0),MATCH('Aggregated expenditure (Core)'!K$5,'Core Crown Expenditure 93-16'!$B$5:$AD$5,0))-K13</f>
        <v>7934</v>
      </c>
      <c r="L12" s="40">
        <f>INDEX('Core Crown Expenditure 93-16'!$B$6:$AD$22,MATCH('Aggregated expenditure (Core)'!$A12,'Core Crown Expenditure 93-16'!$A$6:$A$22,0),MATCH('Aggregated expenditure (Core)'!L$5,'Core Crown Expenditure 93-16'!$B$5:$AD$5,0))-L13</f>
        <v>8035</v>
      </c>
      <c r="M12" s="40">
        <f>INDEX('Core Crown Expenditure 93-16'!$B$6:$AD$22,MATCH('Aggregated expenditure (Core)'!$A12,'Core Crown Expenditure 93-16'!$A$6:$A$22,0),MATCH('Aggregated expenditure (Core)'!M$5,'Core Crown Expenditure 93-16'!$B$5:$AD$5,0))-M13</f>
        <v>8265</v>
      </c>
      <c r="N12" s="40">
        <f>INDEX('Core Crown Expenditure 93-16'!$B$6:$AD$22,MATCH('Aggregated expenditure (Core)'!$A12,'Core Crown Expenditure 93-16'!$A$6:$A$22,0),MATCH('Aggregated expenditure (Core)'!N$5,'Core Crown Expenditure 93-16'!$B$5:$AD$5,0))-N13</f>
        <v>8363</v>
      </c>
      <c r="O12" s="40">
        <f>INDEX('Core Crown Expenditure 93-16'!$B$6:$AD$22,MATCH('Aggregated expenditure (Core)'!$A12,'Core Crown Expenditure 93-16'!$A$6:$A$22,0),MATCH('Aggregated expenditure (Core)'!O$5,'Core Crown Expenditure 93-16'!$B$5:$AD$5,0))-O13</f>
        <v>8599</v>
      </c>
      <c r="P12" s="40">
        <f>INDEX('Core Crown Expenditure 93-16'!$B$6:$AD$22,MATCH('Aggregated expenditure (Core)'!$A12,'Core Crown Expenditure 93-16'!$A$6:$A$22,0),MATCH('Aggregated expenditure (Core)'!P$5,'Core Crown Expenditure 93-16'!$B$5:$AD$5,0))-P13</f>
        <v>9184</v>
      </c>
      <c r="Q12" s="40">
        <f>INDEX('Core Crown Expenditure 93-16'!$B$6:$AD$22,MATCH('Aggregated expenditure (Core)'!$A12,'Core Crown Expenditure 93-16'!$A$6:$A$22,0),MATCH('Aggregated expenditure (Core)'!Q$5,'Core Crown Expenditure 93-16'!$B$5:$AD$5,0))-Q13</f>
        <v>9958</v>
      </c>
      <c r="R12" s="40">
        <f>INDEX('Core Crown Expenditure 93-16'!$B$6:$AD$22,MATCH('Aggregated expenditure (Core)'!$A12,'Core Crown Expenditure 93-16'!$A$6:$A$22,0),MATCH('Aggregated expenditure (Core)'!R$5,'Core Crown Expenditure 93-16'!$B$5:$AD$5,0))-R13</f>
        <v>10529</v>
      </c>
      <c r="S12" s="40">
        <f>INDEX('Core Crown Expenditure 93-16'!$B$6:$AD$22,MATCH('Aggregated expenditure (Core)'!$A12,'Core Crown Expenditure 93-16'!$A$6:$A$22,0),MATCH('Aggregated expenditure (Core)'!S$5,'Core Crown Expenditure 93-16'!$B$5:$AD$5,0))-S13</f>
        <v>11638</v>
      </c>
      <c r="T12" s="40">
        <f>INDEX('Core Crown Expenditure 93-16'!$B$6:$AD$22,MATCH('Aggregated expenditure (Core)'!$A12,'Core Crown Expenditure 93-16'!$A$6:$A$22,0),MATCH('Aggregated expenditure (Core)'!T$5,'Core Crown Expenditure 93-16'!$B$5:$AD$5,0))-T13</f>
        <v>12895</v>
      </c>
      <c r="U12" s="40">
        <f>INDEX('Core Crown Expenditure 93-16'!$B$6:$AD$22,MATCH('Aggregated expenditure (Core)'!$A12,'Core Crown Expenditure 93-16'!$A$6:$A$22,0),MATCH('Aggregated expenditure (Core)'!U$5,'Core Crown Expenditure 93-16'!$B$5:$AD$5,0))-U13</f>
        <v>13175</v>
      </c>
      <c r="V12" s="40">
        <f>INDEX('Core Crown Expenditure 93-16'!$B$6:$AD$22,MATCH('Aggregated expenditure (Core)'!$A12,'Core Crown Expenditure 93-16'!$A$6:$A$22,0),MATCH('Aggregated expenditure (Core)'!V$5,'Core Crown Expenditure 93-16'!$B$5:$AD$5,0))-V13</f>
        <v>12444</v>
      </c>
      <c r="W12" s="40">
        <f>INDEX('Core Crown Expenditure 93-16'!$B$6:$AD$22,MATCH('Aggregated expenditure (Core)'!$A12,'Core Crown Expenditure 93-16'!$A$6:$A$22,0),MATCH('Aggregated expenditure (Core)'!W$5,'Core Crown Expenditure 93-16'!$B$5:$AD$5,0))-W13</f>
        <v>12506</v>
      </c>
      <c r="X12" s="40">
        <f>INDEX('Core Crown Expenditure 93-16'!$B$6:$AD$22,MATCH('Aggregated expenditure (Core)'!$A12,'Core Crown Expenditure 93-16'!$A$6:$A$22,0),MATCH('Aggregated expenditure (Core)'!X$5,'Core Crown Expenditure 93-16'!$B$5:$AD$5,0))-X13</f>
        <v>12368</v>
      </c>
      <c r="Y12" s="40">
        <f>INDEX('Core Crown Expenditure 93-16'!$B$6:$AD$22,MATCH('Aggregated expenditure (Core)'!$A12,'Core Crown Expenditure 93-16'!$A$6:$A$22,0),MATCH('Aggregated expenditure (Core)'!Y$5,'Core Crown Expenditure 93-16'!$B$5:$AD$5,0))-Y13</f>
        <v>11932</v>
      </c>
      <c r="Z12" s="40">
        <f>INDEX('Core Crown Expenditure 93-16'!$B$6:$AD$22,MATCH('Aggregated expenditure (Core)'!$A12,'Core Crown Expenditure 93-16'!$A$6:$A$22,0),MATCH('Aggregated expenditure (Core)'!Z$5,'Core Crown Expenditure 93-16'!$B$5:$AD$5,0))-Z13</f>
        <v>11814</v>
      </c>
      <c r="AA12" s="40">
        <f>INDEX('Core Crown Expenditure 93-16'!$B$6:$AD$22,MATCH('Aggregated expenditure (Core)'!$A12,'Core Crown Expenditure 93-16'!$A$6:$A$22,0),MATCH('Aggregated expenditure (Core)'!AA$5,'Core Crown Expenditure 93-16'!$B$5:$AD$5,0))-AA13</f>
        <v>12251</v>
      </c>
      <c r="AB12" s="40">
        <f>INDEX('Core Crown Expenditure 93-16'!$B$6:$AD$22,MATCH('Aggregated expenditure (Core)'!$A12,'Core Crown Expenditure 93-16'!$A$6:$A$22,0),MATCH('Aggregated expenditure (Core)'!AB$5,'Core Crown Expenditure 93-16'!$B$5:$AD$5,0))-AB13</f>
        <v>12491</v>
      </c>
      <c r="AC12" s="40">
        <f>INDEX('Core Crown Expenditure 93-16'!$B$6:$AD$22,MATCH('Aggregated expenditure (Core)'!$A12,'Core Crown Expenditure 93-16'!$A$6:$A$22,0),MATCH('Aggregated expenditure (Core)'!AC$5,'Core Crown Expenditure 93-16'!$B$5:$AD$5,0))-AC13</f>
        <v>14342</v>
      </c>
      <c r="AD12" s="40">
        <f>INDEX('Core Crown Expenditure 93-16'!$B$6:$AD$22,MATCH('Aggregated expenditure (Core)'!$A12,'Core Crown Expenditure 93-16'!$A$6:$A$22,0),MATCH('Aggregated expenditure (Core)'!AD$5,'Core Crown Expenditure 93-16'!$B$5:$AD$5,0))-AD13</f>
        <v>14536</v>
      </c>
      <c r="AE12" s="40">
        <f>INDEX('Core Crown Expenditure 93-16'!$B$6:$AD$22,MATCH('Aggregated expenditure (Core)'!$A12,'Core Crown Expenditure 93-16'!$A$6:$A$22,0),MATCH('Aggregated expenditure (Core)'!AE$5,'Core Crown Expenditure 93-16'!$B$5:$AD$5,0))-AE13</f>
        <v>14834.999999999998</v>
      </c>
      <c r="AF12" s="40">
        <f>INDEX('Core Crown Expenditure 93-16'!$B$6:$AE$22,MATCH('Aggregated expenditure (Core)'!$A12,'Core Crown Expenditure 93-16'!$A$6:$A$22,0),MATCH('Aggregated expenditure (Core)'!AF$5,'Core Crown Expenditure 93-16'!$B$5:$AE$5,0))-AF13</f>
        <v>15145.999999999996</v>
      </c>
      <c r="AG12" s="40"/>
      <c r="AH12" s="40"/>
    </row>
    <row r="13" spans="1:34" x14ac:dyDescent="0.25">
      <c r="B13" s="32" t="s">
        <v>33</v>
      </c>
      <c r="C13" s="40">
        <f>HLOOKUP(C5,'NZ SUPER'!B1:AD3,3,0)</f>
        <v>5161.0493261520105</v>
      </c>
      <c r="D13" s="40">
        <f>HLOOKUP(D5,'NZ SUPER'!C1:AE3,3,0)</f>
        <v>4953.9160545010855</v>
      </c>
      <c r="E13" s="40">
        <f>HLOOKUP(E5,'NZ SUPER'!D1:AF3,3,0)</f>
        <v>4935.0500996539777</v>
      </c>
      <c r="F13" s="40">
        <f>HLOOKUP(F5,'NZ SUPER'!E1:AG3,3,0)</f>
        <v>5019.8915568495422</v>
      </c>
      <c r="G13" s="40">
        <f>HLOOKUP(G5,'NZ SUPER'!F1:AH3,3,0)</f>
        <v>5086.5156006676298</v>
      </c>
      <c r="H13" s="40">
        <f>HLOOKUP(H5,'NZ SUPER'!G1:AI3,3,0)</f>
        <v>5106</v>
      </c>
      <c r="I13" s="40">
        <f>HLOOKUP(I5,'NZ SUPER'!H1:AJ3,3,0)</f>
        <v>5071</v>
      </c>
      <c r="J13" s="40">
        <f>HLOOKUP(J5,'NZ SUPER'!I1:AK3,3,0)</f>
        <v>5068</v>
      </c>
      <c r="K13" s="40">
        <f>HLOOKUP(K5,'NZ SUPER'!J1:AL3,3,0)</f>
        <v>5273</v>
      </c>
      <c r="L13" s="40">
        <f>HLOOKUP(L5,'NZ SUPER'!K1:AM3,3,0)</f>
        <v>5450</v>
      </c>
      <c r="M13" s="40">
        <f>HLOOKUP(M5,'NZ SUPER'!L1:AN3,3,0)</f>
        <v>5642</v>
      </c>
      <c r="N13" s="40">
        <f>HLOOKUP(N5,'NZ SUPER'!M1:AO3,3,0)</f>
        <v>5889</v>
      </c>
      <c r="O13" s="40">
        <f>HLOOKUP(O5,'NZ SUPER'!N1:AP3,3,0)</f>
        <v>6083</v>
      </c>
      <c r="P13" s="40">
        <f>HLOOKUP(P5,'NZ SUPER'!O1:AQ3,3,0)</f>
        <v>6414</v>
      </c>
      <c r="Q13" s="40">
        <f>HLOOKUP(Q5,'NZ SUPER'!P1:AR3,3,0)</f>
        <v>6810</v>
      </c>
      <c r="R13" s="40">
        <f>HLOOKUP(R5,'NZ SUPER'!Q1:AS3,3,0)</f>
        <v>7348</v>
      </c>
      <c r="S13" s="40">
        <f>HLOOKUP(S5,'NZ SUPER'!R1:AT3,3,0)</f>
        <v>7744</v>
      </c>
      <c r="T13" s="40">
        <f>HLOOKUP(T5,'NZ SUPER'!S1:AU3,3,0)</f>
        <v>8290</v>
      </c>
      <c r="U13" s="40">
        <f>HLOOKUP(U5,'NZ SUPER'!T1:AV3,3,0)</f>
        <v>8830</v>
      </c>
      <c r="V13" s="40">
        <f>HLOOKUP(V5,'NZ SUPER'!U1:AW3,3,0)</f>
        <v>9584</v>
      </c>
      <c r="W13" s="40">
        <f>HLOOKUP(W5,'NZ SUPER'!V1:AX3,3,0)</f>
        <v>10235</v>
      </c>
      <c r="X13" s="40">
        <f>HLOOKUP(X5,'NZ SUPER'!W1:AY3,3,0)</f>
        <v>10913</v>
      </c>
      <c r="Y13" s="40">
        <f>HLOOKUP(Y5,'NZ SUPER'!X1:AZ3,3,0)</f>
        <v>11591</v>
      </c>
      <c r="Z13" s="40">
        <f>HLOOKUP(Z5,'NZ SUPER'!Y1:BA3,3,0)</f>
        <v>12267</v>
      </c>
      <c r="AA13" s="40">
        <f>HLOOKUP(AA5,'NZ SUPER'!Z1:BB3,3,0)</f>
        <v>13043</v>
      </c>
      <c r="AB13" s="40">
        <f>HLOOKUP(AB5,'NZ SUPER'!AA1:BC3,3,0)</f>
        <v>13670</v>
      </c>
      <c r="AC13" s="40">
        <f>HLOOKUP(AC5,'NZ SUPER'!AB1:BD3,3,0)</f>
        <v>14436</v>
      </c>
      <c r="AD13" s="40">
        <f>HLOOKUP(AD5,'NZ SUPER'!AC1:BE3,3,0)</f>
        <v>15354</v>
      </c>
      <c r="AE13" s="40">
        <f>HLOOKUP(AE5,'NZ SUPER'!AD1:BF3,3,0)</f>
        <v>16222.000000000002</v>
      </c>
      <c r="AF13" s="40">
        <f>HLOOKUP(AF5,'NZ SUPER'!1:3,3,0)</f>
        <v>17223</v>
      </c>
      <c r="AG13" s="40"/>
      <c r="AH13" s="40"/>
    </row>
    <row r="14" spans="1:34" x14ac:dyDescent="0.25">
      <c r="B14" s="32" t="s">
        <v>34</v>
      </c>
      <c r="C14" s="121">
        <f t="shared" ref="C14" si="1">+C15-SUM(C6:C13)</f>
        <v>2999</v>
      </c>
      <c r="D14" s="164">
        <f t="shared" ref="D14:AE14" si="2">+D15-SUM(D6:D13)</f>
        <v>1221</v>
      </c>
      <c r="E14" s="164">
        <f t="shared" si="2"/>
        <v>1687</v>
      </c>
      <c r="F14" s="164">
        <f t="shared" si="2"/>
        <v>1854</v>
      </c>
      <c r="G14" s="164">
        <f t="shared" si="2"/>
        <v>2406</v>
      </c>
      <c r="H14" s="164">
        <f t="shared" si="2"/>
        <v>3211</v>
      </c>
      <c r="I14" s="164">
        <f t="shared" si="2"/>
        <v>3697</v>
      </c>
      <c r="J14" s="164">
        <f t="shared" si="2"/>
        <v>3230</v>
      </c>
      <c r="K14" s="164">
        <f t="shared" si="2"/>
        <v>3811</v>
      </c>
      <c r="L14" s="164">
        <f t="shared" si="2"/>
        <v>4427</v>
      </c>
      <c r="M14" s="164">
        <f t="shared" si="2"/>
        <v>4050</v>
      </c>
      <c r="N14" s="164">
        <f t="shared" si="2"/>
        <v>4437</v>
      </c>
      <c r="O14" s="164">
        <f t="shared" si="2"/>
        <v>5377</v>
      </c>
      <c r="P14" s="164">
        <f t="shared" si="2"/>
        <v>5780</v>
      </c>
      <c r="Q14" s="164">
        <f t="shared" si="2"/>
        <v>6250</v>
      </c>
      <c r="R14" s="164">
        <f t="shared" si="2"/>
        <v>7985</v>
      </c>
      <c r="S14" s="164">
        <f t="shared" si="2"/>
        <v>8229</v>
      </c>
      <c r="T14" s="164">
        <f t="shared" si="2"/>
        <v>7686</v>
      </c>
      <c r="U14" s="164">
        <f t="shared" si="2"/>
        <v>9222</v>
      </c>
      <c r="V14" s="164">
        <f t="shared" si="2"/>
        <v>7156</v>
      </c>
      <c r="W14" s="164">
        <f t="shared" si="2"/>
        <v>7390</v>
      </c>
      <c r="X14" s="164">
        <f t="shared" si="2"/>
        <v>7554</v>
      </c>
      <c r="Y14" s="164">
        <f t="shared" si="2"/>
        <v>7510</v>
      </c>
      <c r="Z14" s="164">
        <f t="shared" si="2"/>
        <v>7698</v>
      </c>
      <c r="AA14" s="164">
        <f t="shared" si="2"/>
        <v>8022</v>
      </c>
      <c r="AB14" s="164">
        <f t="shared" si="2"/>
        <v>9482</v>
      </c>
      <c r="AC14" s="164">
        <f t="shared" si="2"/>
        <v>9215</v>
      </c>
      <c r="AD14" s="164">
        <f t="shared" si="2"/>
        <v>9124</v>
      </c>
      <c r="AE14" s="164">
        <f t="shared" si="2"/>
        <v>9805</v>
      </c>
      <c r="AF14" s="40">
        <f>+AF15-SUM(AF6:AF13)</f>
        <v>9581</v>
      </c>
      <c r="AG14" s="164"/>
      <c r="AH14" s="164"/>
    </row>
    <row r="15" spans="1:34" x14ac:dyDescent="0.25">
      <c r="B15" s="36" t="s">
        <v>35</v>
      </c>
      <c r="C15" s="164">
        <f>INDEX('Core Crown Expenditure 93-16'!$B$6:$AD$22,MATCH('Aggregated expenditure (Core)'!$B15,'Core Crown Expenditure 93-16'!$A$6:$A$22,0),MATCH('Aggregated expenditure (Core)'!C$5,'Core Crown Expenditure 93-16'!$B$5:$AD$5,0))</f>
        <v>31429</v>
      </c>
      <c r="D15" s="164">
        <f>INDEX('Core Crown Expenditure 93-16'!$B$6:$AD$22,MATCH('Aggregated expenditure (Core)'!$B15,'Core Crown Expenditure 93-16'!$A$6:$A$22,0),MATCH('Aggregated expenditure (Core)'!D$5,'Core Crown Expenditure 93-16'!$B$5:$AD$5,0))</f>
        <v>29639</v>
      </c>
      <c r="E15" s="164">
        <f>INDEX('Core Crown Expenditure 93-16'!$B$6:$AD$22,MATCH('Aggregated expenditure (Core)'!$B15,'Core Crown Expenditure 93-16'!$A$6:$A$22,0),MATCH('Aggregated expenditure (Core)'!E$5,'Core Crown Expenditure 93-16'!$B$5:$AD$5,0))</f>
        <v>30400</v>
      </c>
      <c r="F15" s="164">
        <f>INDEX('Core Crown Expenditure 93-16'!$B$6:$AD$22,MATCH('Aggregated expenditure (Core)'!$B15,'Core Crown Expenditure 93-16'!$A$6:$A$22,0),MATCH('Aggregated expenditure (Core)'!F$5,'Core Crown Expenditure 93-16'!$B$5:$AD$5,0))</f>
        <v>31743</v>
      </c>
      <c r="G15" s="164">
        <f>INDEX('Core Crown Expenditure 93-16'!$B$6:$AD$22,MATCH('Aggregated expenditure (Core)'!$B15,'Core Crown Expenditure 93-16'!$A$6:$A$22,0),MATCH('Aggregated expenditure (Core)'!G$5,'Core Crown Expenditure 93-16'!$B$5:$AD$5,0))</f>
        <v>32953</v>
      </c>
      <c r="H15" s="164">
        <f>INDEX('Core Crown Expenditure 93-16'!$B$6:$AD$22,MATCH('Aggregated expenditure (Core)'!$B15,'Core Crown Expenditure 93-16'!$A$6:$A$22,0),MATCH('Aggregated expenditure (Core)'!H$5,'Core Crown Expenditure 93-16'!$B$5:$AD$5,0))</f>
        <v>34211</v>
      </c>
      <c r="I15" s="164">
        <f>INDEX('Core Crown Expenditure 93-16'!$B$6:$AD$22,MATCH('Aggregated expenditure (Core)'!$B15,'Core Crown Expenditure 93-16'!$A$6:$A$22,0),MATCH('Aggregated expenditure (Core)'!I$5,'Core Crown Expenditure 93-16'!$B$5:$AD$5,0))</f>
        <v>35825</v>
      </c>
      <c r="J15" s="164">
        <f>INDEX('Core Crown Expenditure 93-16'!$B$6:$AD$22,MATCH('Aggregated expenditure (Core)'!$B15,'Core Crown Expenditure 93-16'!$A$6:$A$22,0),MATCH('Aggregated expenditure (Core)'!J$5,'Core Crown Expenditure 93-16'!$B$5:$AD$5,0))</f>
        <v>36171</v>
      </c>
      <c r="K15" s="164">
        <f>INDEX('Core Crown Expenditure 93-16'!$B$6:$AD$22,MATCH('Aggregated expenditure (Core)'!$B15,'Core Crown Expenditure 93-16'!$A$6:$A$22,0),MATCH('Aggregated expenditure (Core)'!K$5,'Core Crown Expenditure 93-16'!$B$5:$AD$5,0))</f>
        <v>36699</v>
      </c>
      <c r="L15" s="164">
        <f>INDEX('Core Crown Expenditure 93-16'!$B$6:$AD$22,MATCH('Aggregated expenditure (Core)'!$B15,'Core Crown Expenditure 93-16'!$A$6:$A$22,0),MATCH('Aggregated expenditure (Core)'!L$5,'Core Crown Expenditure 93-16'!$B$5:$AD$5,0))</f>
        <v>37970</v>
      </c>
      <c r="M15" s="164">
        <f>INDEX('Core Crown Expenditure 93-16'!$B$6:$AD$22,MATCH('Aggregated expenditure (Core)'!$B15,'Core Crown Expenditure 93-16'!$A$6:$A$22,0),MATCH('Aggregated expenditure (Core)'!M$5,'Core Crown Expenditure 93-16'!$B$5:$AD$5,0))</f>
        <v>39897</v>
      </c>
      <c r="N15" s="164">
        <f>INDEX('Core Crown Expenditure 93-16'!$B$6:$AD$22,MATCH('Aggregated expenditure (Core)'!$B15,'Core Crown Expenditure 93-16'!$A$6:$A$22,0),MATCH('Aggregated expenditure (Core)'!N$5,'Core Crown Expenditure 93-16'!$B$5:$AD$5,0))</f>
        <v>41882</v>
      </c>
      <c r="O15" s="164">
        <f>INDEX('Core Crown Expenditure 93-16'!$B$6:$AD$22,MATCH('Aggregated expenditure (Core)'!$B15,'Core Crown Expenditure 93-16'!$A$6:$A$22,0),MATCH('Aggregated expenditure (Core)'!O$5,'Core Crown Expenditure 93-16'!$B$5:$AD$5,0))</f>
        <v>44895</v>
      </c>
      <c r="P15" s="164">
        <f>INDEX('Core Crown Expenditure 93-16'!$B$6:$AD$22,MATCH('Aggregated expenditure (Core)'!$B15,'Core Crown Expenditure 93-16'!$A$6:$A$22,0),MATCH('Aggregated expenditure (Core)'!P$5,'Core Crown Expenditure 93-16'!$B$5:$AD$5,0))</f>
        <v>49320</v>
      </c>
      <c r="Q15" s="164">
        <f>INDEX('Core Crown Expenditure 93-16'!$B$6:$AD$22,MATCH('Aggregated expenditure (Core)'!$B15,'Core Crown Expenditure 93-16'!$A$6:$A$22,0),MATCH('Aggregated expenditure (Core)'!Q$5,'Core Crown Expenditure 93-16'!$B$5:$AD$5,0))</f>
        <v>54003</v>
      </c>
      <c r="R15" s="164">
        <f>INDEX('Core Crown Expenditure 93-16'!$B$6:$AD$22,MATCH('Aggregated expenditure (Core)'!$B15,'Core Crown Expenditure 93-16'!$A$6:$A$22,0),MATCH('Aggregated expenditure (Core)'!R$5,'Core Crown Expenditure 93-16'!$B$5:$AD$5,0))</f>
        <v>56997</v>
      </c>
      <c r="S15" s="164">
        <f>INDEX('Core Crown Expenditure 93-16'!$B$6:$AD$22,MATCH('Aggregated expenditure (Core)'!$B15,'Core Crown Expenditure 93-16'!$A$6:$A$22,0),MATCH('Aggregated expenditure (Core)'!S$5,'Core Crown Expenditure 93-16'!$B$5:$AD$5,0))</f>
        <v>64002</v>
      </c>
      <c r="T15" s="164">
        <f>INDEX('Core Crown Expenditure 93-16'!$B$6:$AD$22,MATCH('Aggregated expenditure (Core)'!$B15,'Core Crown Expenditure 93-16'!$A$6:$A$22,0),MATCH('Aggregated expenditure (Core)'!T$5,'Core Crown Expenditure 93-16'!$B$5:$AD$5,0))</f>
        <v>64013</v>
      </c>
      <c r="U15" s="164">
        <f>INDEX('Core Crown Expenditure 93-16'!$B$6:$AD$22,MATCH('Aggregated expenditure (Core)'!$B15,'Core Crown Expenditure 93-16'!$A$6:$A$22,0),MATCH('Aggregated expenditure (Core)'!U$5,'Core Crown Expenditure 93-16'!$B$5:$AD$5,0))</f>
        <v>70450</v>
      </c>
      <c r="V15" s="164">
        <f>INDEX('Core Crown Expenditure 93-16'!$B$6:$AD$22,MATCH('Aggregated expenditure (Core)'!$B15,'Core Crown Expenditure 93-16'!$A$6:$A$22,0),MATCH('Aggregated expenditure (Core)'!V$5,'Core Crown Expenditure 93-16'!$B$5:$AD$5,0))</f>
        <v>69076</v>
      </c>
      <c r="W15" s="164">
        <f>INDEX('Core Crown Expenditure 93-16'!$B$6:$AD$22,MATCH('Aggregated expenditure (Core)'!$B15,'Core Crown Expenditure 93-16'!$A$6:$A$22,0),MATCH('Aggregated expenditure (Core)'!W$5,'Core Crown Expenditure 93-16'!$B$5:$AD$5,0))</f>
        <v>70306</v>
      </c>
      <c r="X15" s="164">
        <f>INDEX('Core Crown Expenditure 93-16'!$B$6:$AD$22,MATCH('Aggregated expenditure (Core)'!$B15,'Core Crown Expenditure 93-16'!$A$6:$A$22,0),MATCH('Aggregated expenditure (Core)'!X$5,'Core Crown Expenditure 93-16'!$B$5:$AD$5,0))</f>
        <v>71467</v>
      </c>
      <c r="Y15" s="164">
        <f>INDEX('Core Crown Expenditure 93-16'!$B$6:$AD$22,MATCH('Aggregated expenditure (Core)'!$B15,'Core Crown Expenditure 93-16'!$A$6:$A$22,0),MATCH('Aggregated expenditure (Core)'!Y$5,'Core Crown Expenditure 93-16'!$B$5:$AD$5,0))</f>
        <v>72363</v>
      </c>
      <c r="Z15" s="164">
        <f>INDEX('Core Crown Expenditure 93-16'!$B$6:$AD$22,MATCH('Aggregated expenditure (Core)'!$B15,'Core Crown Expenditure 93-16'!$A$6:$A$22,0),MATCH('Aggregated expenditure (Core)'!Z$5,'Core Crown Expenditure 93-16'!$B$5:$AD$5,0))</f>
        <v>73929</v>
      </c>
      <c r="AA15" s="164">
        <f>INDEX('Core Crown Expenditure 93-16'!$B$6:$AD$22,MATCH('Aggregated expenditure (Core)'!$B15,'Core Crown Expenditure 93-16'!$A$6:$A$22,0),MATCH('Aggregated expenditure (Core)'!AA$5,'Core Crown Expenditure 93-16'!$B$5:$AD$5,0))</f>
        <v>76339</v>
      </c>
      <c r="AB15" s="164">
        <f>INDEX('Core Crown Expenditure 93-16'!$B$6:$AD$22,MATCH('Aggregated expenditure (Core)'!$B15,'Core Crown Expenditure 93-16'!$A$6:$A$22,0),MATCH('Aggregated expenditure (Core)'!AB$5,'Core Crown Expenditure 93-16'!$B$5:$AD$5,0))</f>
        <v>81653</v>
      </c>
      <c r="AC15" s="164">
        <f>INDEX('Core Crown Expenditure 93-16'!$B$6:$AD$22,MATCH('Aggregated expenditure (Core)'!$B15,'Core Crown Expenditure 93-16'!$A$6:$A$22,0),MATCH('Aggregated expenditure (Core)'!AC$5,'Core Crown Expenditure 93-16'!$B$5:$AD$5,0))</f>
        <v>86308</v>
      </c>
      <c r="AD15" s="164">
        <f>INDEX('Core Crown Expenditure 93-16'!$B$6:$AD$22,MATCH('Aggregated expenditure (Core)'!$B15,'Core Crown Expenditure 93-16'!$A$6:$A$22,0),MATCH('Aggregated expenditure (Core)'!AD$5,'Core Crown Expenditure 93-16'!$B$5:$AD$5,0))</f>
        <v>89160</v>
      </c>
      <c r="AE15" s="164">
        <f>INDEX('Core Crown Expenditure 93-16'!$B$6:$AD$22,MATCH('Aggregated expenditure (Core)'!$B15,'Core Crown Expenditure 93-16'!$A$6:$A$22,0),MATCH('Aggregated expenditure (Core)'!AE$5,'Core Crown Expenditure 93-16'!$B$5:$AD$5,0))</f>
        <v>92727</v>
      </c>
      <c r="AF15" s="40">
        <f>INDEX('Core Crown Expenditure 93-16'!$B$6:$AE$22,MATCH('Aggregated expenditure (Core)'!$B15,'Core Crown Expenditure 93-16'!$A$6:$A$22,0),MATCH('Aggregated expenditure (Core)'!AF$5,'Core Crown Expenditure 93-16'!$B$5:$AE$5,0))-AF16</f>
        <v>95304</v>
      </c>
      <c r="AG15" s="164"/>
      <c r="AH15" s="164"/>
    </row>
    <row r="16" spans="1:34" x14ac:dyDescent="0.25">
      <c r="B16" s="28"/>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row>
    <row r="17" spans="2:2" x14ac:dyDescent="0.25">
      <c r="B17" s="28" t="s">
        <v>36</v>
      </c>
    </row>
    <row r="18" spans="2:2" x14ac:dyDescent="0.25">
      <c r="B18" s="121" t="s">
        <v>37</v>
      </c>
    </row>
    <row r="19" spans="2:2" x14ac:dyDescent="0.25">
      <c r="B19" s="121" t="s">
        <v>38</v>
      </c>
    </row>
    <row r="20" spans="2:2" x14ac:dyDescent="0.25">
      <c r="B20" s="121" t="s">
        <v>39</v>
      </c>
    </row>
    <row r="21" spans="2:2" x14ac:dyDescent="0.25">
      <c r="B21" s="41" t="s">
        <v>40</v>
      </c>
    </row>
    <row r="23" spans="2:2" x14ac:dyDescent="0.25">
      <c r="B23" s="121" t="s">
        <v>41</v>
      </c>
    </row>
    <row r="24" spans="2:2" x14ac:dyDescent="0.25">
      <c r="B24" s="41" t="s">
        <v>42</v>
      </c>
    </row>
    <row r="25" spans="2:2" x14ac:dyDescent="0.25">
      <c r="B25" s="41" t="s">
        <v>43</v>
      </c>
    </row>
    <row r="26" spans="2:2" x14ac:dyDescent="0.25">
      <c r="B26" s="41" t="s">
        <v>44</v>
      </c>
    </row>
    <row r="27" spans="2:2" x14ac:dyDescent="0.25">
      <c r="B27" s="121" t="s">
        <v>45</v>
      </c>
    </row>
    <row r="28" spans="2:2" x14ac:dyDescent="0.25">
      <c r="B28" s="121" t="s">
        <v>46</v>
      </c>
    </row>
    <row r="29" spans="2:2" x14ac:dyDescent="0.25">
      <c r="B29" s="121" t="s">
        <v>47</v>
      </c>
    </row>
    <row r="30" spans="2:2" x14ac:dyDescent="0.25">
      <c r="B30" s="121" t="s">
        <v>48</v>
      </c>
    </row>
    <row r="31" spans="2:2" x14ac:dyDescent="0.25">
      <c r="B31" s="121" t="s">
        <v>49</v>
      </c>
    </row>
  </sheetData>
  <mergeCells count="1">
    <mergeCell ref="B2:B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F1" workbookViewId="0">
      <selection activeCell="P3" sqref="P3"/>
    </sheetView>
  </sheetViews>
  <sheetFormatPr defaultRowHeight="15" x14ac:dyDescent="0.25"/>
  <cols>
    <col min="1" max="1" width="40.5703125" bestFit="1" customWidth="1"/>
  </cols>
  <sheetData>
    <row r="1" spans="1:17" ht="15" customHeight="1" x14ac:dyDescent="0.25">
      <c r="A1" s="61" t="s">
        <v>64</v>
      </c>
      <c r="B1" s="196" t="s">
        <v>65</v>
      </c>
      <c r="C1" s="196"/>
      <c r="D1" s="196"/>
      <c r="E1" s="196"/>
      <c r="F1" s="196"/>
      <c r="G1" s="196"/>
      <c r="H1" s="196"/>
      <c r="I1" s="196"/>
      <c r="J1" s="196"/>
      <c r="K1" s="196"/>
      <c r="L1" s="196"/>
      <c r="M1" s="196"/>
      <c r="N1" s="196"/>
      <c r="O1" s="121"/>
      <c r="P1" s="197" t="s">
        <v>66</v>
      </c>
      <c r="Q1" s="202" t="s">
        <v>67</v>
      </c>
    </row>
    <row r="2" spans="1:17" x14ac:dyDescent="0.25">
      <c r="A2" s="79"/>
      <c r="B2" s="76">
        <v>2009</v>
      </c>
      <c r="C2" s="77">
        <f>+B2+1</f>
        <v>2010</v>
      </c>
      <c r="D2" s="77">
        <f t="shared" ref="D2:I2" si="0">+C2+1</f>
        <v>2011</v>
      </c>
      <c r="E2" s="77">
        <f t="shared" si="0"/>
        <v>2012</v>
      </c>
      <c r="F2" s="77">
        <f t="shared" si="0"/>
        <v>2013</v>
      </c>
      <c r="G2" s="77">
        <f t="shared" si="0"/>
        <v>2014</v>
      </c>
      <c r="H2" s="77">
        <f t="shared" si="0"/>
        <v>2015</v>
      </c>
      <c r="I2" s="77">
        <f t="shared" si="0"/>
        <v>2016</v>
      </c>
      <c r="J2" s="77">
        <f>+I2+1</f>
        <v>2017</v>
      </c>
      <c r="K2" s="77">
        <f>+J2+1</f>
        <v>2018</v>
      </c>
      <c r="L2" s="77">
        <f>+K2+1</f>
        <v>2019</v>
      </c>
      <c r="M2" s="77">
        <f>+L2+1</f>
        <v>2020</v>
      </c>
      <c r="N2" s="78">
        <f>+M2+1</f>
        <v>2021</v>
      </c>
      <c r="O2" s="121"/>
      <c r="P2" s="198"/>
      <c r="Q2" s="203"/>
    </row>
    <row r="3" spans="1:17" x14ac:dyDescent="0.25">
      <c r="A3" s="79" t="str">
        <f>+'Real per person (Total)'!A6</f>
        <v>Taxation revenue</v>
      </c>
      <c r="B3" s="112">
        <f>+'Real per person (Total)'!L6/'Real per person (Total)'!K6-1</f>
        <v>-6.6662419957947194E-2</v>
      </c>
      <c r="C3" s="112">
        <f>+'Real per person (Total)'!M6/'Real per person (Total)'!L6-1</f>
        <v>-9.5482316963856895E-2</v>
      </c>
      <c r="D3" s="112">
        <f>+'Real per person (Total)'!N6/'Real per person (Total)'!M6-1</f>
        <v>-4.2721930042175393E-2</v>
      </c>
      <c r="E3" s="112">
        <f>+'Real per person (Total)'!O6/'Real per person (Total)'!N6-1</f>
        <v>5.3341081577273464E-2</v>
      </c>
      <c r="F3" s="112">
        <f>+'Real per person (Total)'!P6/'Real per person (Total)'!O6-1</f>
        <v>4.8111916935392296E-2</v>
      </c>
      <c r="G3" s="112">
        <f>+'Real per person (Total)'!Q6/'Real per person (Total)'!P6-1</f>
        <v>1.5122285678785596E-2</v>
      </c>
      <c r="H3" s="112">
        <f>+'Real per person (Total)'!R6/'Real per person (Total)'!Q6-1</f>
        <v>6.026674354693573E-2</v>
      </c>
      <c r="I3" s="112">
        <f>+'Real per person (Total)'!S6/'Real per person (Total)'!R6-1</f>
        <v>3.2841043830500904E-2</v>
      </c>
      <c r="J3" s="112">
        <f>+'Real per person (Total)'!T6/'Real per person (Total)'!S6-1</f>
        <v>5.3496579306171466E-2</v>
      </c>
      <c r="K3" s="112">
        <f>+'Real per person (Total)'!U6/'Real per person (Total)'!T6-1</f>
        <v>1.5558955530990515E-2</v>
      </c>
      <c r="L3" s="112">
        <f>+'Real per person (Total)'!V6/'Real per person (Total)'!U6-1</f>
        <v>4.1822087879758829E-2</v>
      </c>
      <c r="M3" s="112">
        <f>+'Real per person (Total)'!W6/'Real per person (Total)'!V6-1</f>
        <v>4.6017711702690756E-2</v>
      </c>
      <c r="N3" s="112">
        <f>+'Real per person (Total)'!X6/'Real per person (Total)'!W6-1</f>
        <v>4.6120429878635072E-2</v>
      </c>
      <c r="O3" s="51"/>
      <c r="P3" s="117">
        <f>+('Real per person (Total)'!R6/'Real per person (Total)'!B6)^(1/(YEAR('Real per person (Total)'!$R$2)-YEAR('Real per person (Total)'!$B$2)))-1</f>
        <v>1.0848663520446111E-2</v>
      </c>
      <c r="Q3" s="113">
        <f>+('Real per person (Total)'!R6/'Real per person (Total)'!L6)^(1/(YEAR('Real per person (Total)'!$L$2)-YEAR('Real per person (Total)'!$R$2)))-1</f>
        <v>-4.7341386841247557E-3</v>
      </c>
    </row>
    <row r="4" spans="1:17" x14ac:dyDescent="0.25">
      <c r="A4" s="80" t="str">
        <f>+'Real per person (Total)'!A7</f>
        <v>Other revenue</v>
      </c>
      <c r="B4" s="53">
        <f>+'Real per person (Total)'!L7/'Real per person (Total)'!K7-1</f>
        <v>-2.0183740908776171E-2</v>
      </c>
      <c r="C4" s="53">
        <f>+'Real per person (Total)'!M7/'Real per person (Total)'!L7-1</f>
        <v>-7.1909115995446471E-2</v>
      </c>
      <c r="D4" s="53">
        <f>+'Real per person (Total)'!N7/'Real per person (Total)'!M7-1</f>
        <v>0.18561985638446576</v>
      </c>
      <c r="E4" s="53">
        <f>+'Real per person (Total)'!O7/'Real per person (Total)'!N7-1</f>
        <v>-6.0758693203237346E-2</v>
      </c>
      <c r="F4" s="53">
        <f>+'Real per person (Total)'!P7/'Real per person (Total)'!O7-1</f>
        <v>-3.1750530887481032E-2</v>
      </c>
      <c r="G4" s="53">
        <f>+'Real per person (Total)'!Q7/'Real per person (Total)'!P7-1</f>
        <v>-2.5729493796841418E-2</v>
      </c>
      <c r="H4" s="53">
        <f>+'Real per person (Total)'!R7/'Real per person (Total)'!Q7-1</f>
        <v>-8.0036334959765476E-4</v>
      </c>
      <c r="I4" s="53">
        <f>+'Real per person (Total)'!S7/'Real per person (Total)'!R7-1</f>
        <v>-3.6514971453914469E-2</v>
      </c>
      <c r="J4" s="53">
        <f>+'Real per person (Total)'!T7/'Real per person (Total)'!S7-1</f>
        <v>5.1691431193570114E-3</v>
      </c>
      <c r="K4" s="53">
        <f>+'Real per person (Total)'!U7/'Real per person (Total)'!T7-1</f>
        <v>3.1970036129834067E-2</v>
      </c>
      <c r="L4" s="53">
        <f>+'Real per person (Total)'!V7/'Real per person (Total)'!U7-1</f>
        <v>1.9383049664165819E-2</v>
      </c>
      <c r="M4" s="53">
        <f>+'Real per person (Total)'!W7/'Real per person (Total)'!V7-1</f>
        <v>3.0340492548289522E-2</v>
      </c>
      <c r="N4" s="53">
        <f>+'Real per person (Total)'!X7/'Real per person (Total)'!W7-1</f>
        <v>1.4070788779189769E-2</v>
      </c>
      <c r="O4" s="51"/>
      <c r="P4" s="118">
        <f>+('Real per person (Total)'!R7/'Real per person (Total)'!B7)^(1/(YEAR('Real per person (Total)'!$R$2)-YEAR('Real per person (Total)'!$B$2)))-1</f>
        <v>4.8859331931075056E-2</v>
      </c>
      <c r="Q4" s="114">
        <f>+('Real per person (Total)'!R7/'Real per person (Total)'!L7)^(1/(YEAR('Real per person (Total)'!$L$2)-YEAR('Real per person (Total)'!$R$2)))-1</f>
        <v>4.3720666820854515E-3</v>
      </c>
    </row>
    <row r="5" spans="1:17" x14ac:dyDescent="0.25">
      <c r="A5" s="80" t="str">
        <f>+'Real per person (Total)'!A8</f>
        <v>Total revenue (excluding gains)</v>
      </c>
      <c r="B5" s="53">
        <f>+'Real per person (Total)'!L8/'Real per person (Total)'!K8-1</f>
        <v>-5.2437031920776644E-2</v>
      </c>
      <c r="C5" s="53">
        <f>+'Real per person (Total)'!M8/'Real per person (Total)'!L8-1</f>
        <v>-8.802185937024376E-2</v>
      </c>
      <c r="D5" s="53">
        <f>+'Real per person (Total)'!N8/'Real per person (Total)'!M8-1</f>
        <v>3.0820568403126858E-2</v>
      </c>
      <c r="E5" s="53">
        <f>+'Real per person (Total)'!O8/'Real per person (Total)'!N8-1</f>
        <v>1.1074204459398107E-2</v>
      </c>
      <c r="F5" s="53">
        <f>+'Real per person (Total)'!P8/'Real per person (Total)'!O8-1</f>
        <v>2.0629675843944595E-2</v>
      </c>
      <c r="G5" s="53">
        <f>+'Real per person (Total)'!Q8/'Real per person (Total)'!P8-1</f>
        <v>1.7858559040784261E-3</v>
      </c>
      <c r="H5" s="53">
        <f>+'Real per person (Total)'!R8/'Real per person (Total)'!Q8-1</f>
        <v>4.0878404358045461E-2</v>
      </c>
      <c r="I5" s="53">
        <f>+'Real per person (Total)'!S8/'Real per person (Total)'!R8-1</f>
        <v>1.1702762852044302E-2</v>
      </c>
      <c r="J5" s="53">
        <f>+'Real per person (Total)'!T8/'Real per person (Total)'!S8-1</f>
        <v>3.9469368511455327E-2</v>
      </c>
      <c r="K5" s="53">
        <f>+'Real per person (Total)'!U8/'Real per person (Total)'!T8-1</f>
        <v>2.0165149241243796E-2</v>
      </c>
      <c r="L5" s="53">
        <f>+'Real per person (Total)'!V8/'Real per person (Total)'!U8-1</f>
        <v>3.5451113448880411E-2</v>
      </c>
      <c r="M5" s="53">
        <f>+'Real per person (Total)'!W8/'Real per person (Total)'!V8-1</f>
        <v>4.1635650269530089E-2</v>
      </c>
      <c r="N5" s="53">
        <f>+'Real per person (Total)'!X8/'Real per person (Total)'!W8-1</f>
        <v>3.725912792762176E-2</v>
      </c>
      <c r="O5" s="51"/>
      <c r="P5" s="118">
        <f>+('Real per person (Total)'!R8/'Real per person (Total)'!B8)^(1/(YEAR('Real per person (Total)'!$R$2)-YEAR('Real per person (Total)'!$B$2)))-1</f>
        <v>2.0121672322529038E-2</v>
      </c>
      <c r="Q5" s="114">
        <f>+('Real per person (Total)'!R8/'Real per person (Total)'!L8)^(1/(YEAR('Real per person (Total)'!$L$2)-YEAR('Real per person (Total)'!$R$2)))-1</f>
        <v>-1.9145375202597181E-3</v>
      </c>
    </row>
    <row r="6" spans="1:17" x14ac:dyDescent="0.25">
      <c r="A6" s="81" t="str">
        <f>+'Real per person (Total)'!A9</f>
        <v>Total expenses (excluding losses)</v>
      </c>
      <c r="B6" s="115">
        <f>+'Real per person (Total)'!L9/'Real per person (Total)'!K9-1</f>
        <v>6.8258514230125744E-2</v>
      </c>
      <c r="C6" s="115">
        <f>+'Real per person (Total)'!M9/'Real per person (Total)'!L9-1</f>
        <v>-5.6826383736178654E-2</v>
      </c>
      <c r="D6" s="115">
        <f>+'Real per person (Total)'!N9/'Real per person (Total)'!M9-1</f>
        <v>0.16523754735703533</v>
      </c>
      <c r="E6" s="115">
        <f>+'Real per person (Total)'!O9/'Real per person (Total)'!N9-1</f>
        <v>-8.4265500509718372E-2</v>
      </c>
      <c r="F6" s="115">
        <f>+'Real per person (Total)'!P9/'Real per person (Total)'!O9-1</f>
        <v>-3.4901659191653889E-2</v>
      </c>
      <c r="G6" s="115">
        <f>+'Real per person (Total)'!Q9/'Real per person (Total)'!P9-1</f>
        <v>-1.8043372963110316E-2</v>
      </c>
      <c r="H6" s="115">
        <f>+'Real per person (Total)'!R9/'Real per person (Total)'!Q9-1</f>
        <v>3.0402042329698009E-3</v>
      </c>
      <c r="I6" s="115">
        <f>+'Real per person (Total)'!S9/'Real per person (Total)'!R9-1</f>
        <v>-4.0187876774482323E-3</v>
      </c>
      <c r="J6" s="115">
        <f>+'Real per person (Total)'!T9/'Real per person (Total)'!S9-1</f>
        <v>1.9098861234469577E-2</v>
      </c>
      <c r="K6" s="115">
        <f>+'Real per person (Total)'!U9/'Real per person (Total)'!T9-1</f>
        <v>3.615293641361994E-2</v>
      </c>
      <c r="L6" s="115">
        <f>+'Real per person (Total)'!V9/'Real per person (Total)'!U9-1</f>
        <v>3.4142853551910823E-2</v>
      </c>
      <c r="M6" s="115">
        <f>+'Real per person (Total)'!W9/'Real per person (Total)'!V9-1</f>
        <v>2.364115456860727E-2</v>
      </c>
      <c r="N6" s="115">
        <f>+'Real per person (Total)'!X9/'Real per person (Total)'!W9-1</f>
        <v>2.6392233377708685E-2</v>
      </c>
      <c r="O6" s="51"/>
      <c r="P6" s="119">
        <f>+('Real per person (Total)'!R9/'Real per person (Total)'!B9)^(1/(YEAR('Real per person (Total)'!$R$2)-YEAR('Real per person (Total)'!$B$2)))-1</f>
        <v>1.9827052281059299E-2</v>
      </c>
      <c r="Q6" s="116">
        <f>+('Real per person (Total)'!R9/'Real per person (Total)'!L9)^(1/(YEAR('Real per person (Total)'!$L$2)-YEAR('Real per person (Total)'!$R$2)))-1</f>
        <v>7.4117587678028674E-3</v>
      </c>
    </row>
  </sheetData>
  <mergeCells count="3">
    <mergeCell ref="P1:P2"/>
    <mergeCell ref="Q1:Q2"/>
    <mergeCell ref="B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28"/>
  <sheetViews>
    <sheetView workbookViewId="0">
      <pane xSplit="1" ySplit="1" topLeftCell="L2" activePane="bottomRight" state="frozen"/>
      <selection activeCell="T8" sqref="T8"/>
      <selection pane="topRight" activeCell="T8" sqref="T8"/>
      <selection pane="bottomLeft" activeCell="T8" sqref="T8"/>
      <selection pane="bottomRight" activeCell="P13" sqref="P13"/>
    </sheetView>
  </sheetViews>
  <sheetFormatPr defaultRowHeight="15" x14ac:dyDescent="0.25"/>
  <cols>
    <col min="2" max="24" width="9.7109375" bestFit="1" customWidth="1"/>
    <col min="25" max="25" width="11" bestFit="1" customWidth="1"/>
    <col min="26" max="34" width="9.7109375" bestFit="1" customWidth="1"/>
  </cols>
  <sheetData>
    <row r="1" spans="1:37" x14ac:dyDescent="0.25">
      <c r="A1" s="42"/>
      <c r="B1" s="120">
        <v>1991</v>
      </c>
      <c r="C1" s="120">
        <f>+B1+1</f>
        <v>1992</v>
      </c>
      <c r="D1" s="120">
        <f t="shared" ref="D1:AA1" si="0">+C1+1</f>
        <v>1993</v>
      </c>
      <c r="E1" s="120">
        <f t="shared" si="0"/>
        <v>1994</v>
      </c>
      <c r="F1" s="120">
        <f t="shared" si="0"/>
        <v>1995</v>
      </c>
      <c r="G1" s="120">
        <f t="shared" si="0"/>
        <v>1996</v>
      </c>
      <c r="H1" s="120">
        <f t="shared" si="0"/>
        <v>1997</v>
      </c>
      <c r="I1" s="120">
        <f t="shared" si="0"/>
        <v>1998</v>
      </c>
      <c r="J1" s="120">
        <f t="shared" si="0"/>
        <v>1999</v>
      </c>
      <c r="K1" s="120">
        <f t="shared" si="0"/>
        <v>2000</v>
      </c>
      <c r="L1" s="120">
        <f t="shared" si="0"/>
        <v>2001</v>
      </c>
      <c r="M1" s="120">
        <f t="shared" si="0"/>
        <v>2002</v>
      </c>
      <c r="N1" s="120">
        <f t="shared" si="0"/>
        <v>2003</v>
      </c>
      <c r="O1" s="120">
        <f t="shared" si="0"/>
        <v>2004</v>
      </c>
      <c r="P1" s="120">
        <f t="shared" si="0"/>
        <v>2005</v>
      </c>
      <c r="Q1" s="120">
        <f t="shared" si="0"/>
        <v>2006</v>
      </c>
      <c r="R1" s="120">
        <f t="shared" si="0"/>
        <v>2007</v>
      </c>
      <c r="S1" s="120">
        <f t="shared" si="0"/>
        <v>2008</v>
      </c>
      <c r="T1" s="120">
        <f t="shared" si="0"/>
        <v>2009</v>
      </c>
      <c r="U1" s="120">
        <f t="shared" si="0"/>
        <v>2010</v>
      </c>
      <c r="V1" s="120">
        <f t="shared" si="0"/>
        <v>2011</v>
      </c>
      <c r="W1" s="120">
        <f t="shared" si="0"/>
        <v>2012</v>
      </c>
      <c r="X1" s="120">
        <f t="shared" si="0"/>
        <v>2013</v>
      </c>
      <c r="Y1" s="120">
        <f t="shared" si="0"/>
        <v>2014</v>
      </c>
      <c r="Z1" s="120">
        <f t="shared" si="0"/>
        <v>2015</v>
      </c>
      <c r="AA1" s="120">
        <f t="shared" si="0"/>
        <v>2016</v>
      </c>
      <c r="AB1" s="120" t="s">
        <v>85</v>
      </c>
      <c r="AC1" s="121">
        <v>2018</v>
      </c>
      <c r="AD1" s="121">
        <v>2019</v>
      </c>
      <c r="AE1" s="121">
        <v>2020</v>
      </c>
      <c r="AF1" s="121">
        <v>2021</v>
      </c>
      <c r="AG1" s="121">
        <v>2022</v>
      </c>
      <c r="AH1" s="121">
        <v>2023</v>
      </c>
      <c r="AI1" s="121"/>
    </row>
    <row r="2" spans="1:37" x14ac:dyDescent="0.25">
      <c r="A2" s="43" t="s">
        <v>80</v>
      </c>
      <c r="B2" s="40">
        <v>3495100</v>
      </c>
      <c r="C2" s="40">
        <v>3531700</v>
      </c>
      <c r="D2" s="40">
        <v>3572200</v>
      </c>
      <c r="E2" s="40">
        <v>3620000</v>
      </c>
      <c r="F2" s="40">
        <v>3673400</v>
      </c>
      <c r="G2" s="40">
        <v>3732000</v>
      </c>
      <c r="H2" s="40">
        <v>3781300</v>
      </c>
      <c r="I2" s="40">
        <v>3815000</v>
      </c>
      <c r="J2" s="40">
        <v>3835100</v>
      </c>
      <c r="K2" s="40">
        <v>3857700</v>
      </c>
      <c r="L2" s="40">
        <v>3880500</v>
      </c>
      <c r="M2" s="40">
        <v>3948500</v>
      </c>
      <c r="N2" s="40">
        <v>4027200</v>
      </c>
      <c r="O2" s="40">
        <v>4087500</v>
      </c>
      <c r="P2" s="40">
        <v>4133900</v>
      </c>
      <c r="Q2" s="40">
        <v>4184630</v>
      </c>
      <c r="R2" s="40">
        <v>4223860</v>
      </c>
      <c r="S2" s="40">
        <v>4259750</v>
      </c>
      <c r="T2" s="40">
        <v>4302590</v>
      </c>
      <c r="U2" s="40">
        <v>4350670</v>
      </c>
      <c r="V2" s="40">
        <v>4383970</v>
      </c>
      <c r="W2" s="40">
        <v>4407980</v>
      </c>
      <c r="X2" s="40">
        <v>4442100</v>
      </c>
      <c r="Y2" s="40">
        <v>4509690</v>
      </c>
      <c r="Z2" s="40">
        <v>4595750</v>
      </c>
      <c r="AA2" s="40">
        <v>4693000</v>
      </c>
      <c r="AB2" s="40">
        <v>4793900</v>
      </c>
      <c r="AC2" s="40">
        <v>4877545</v>
      </c>
      <c r="AD2" s="40">
        <v>4958958</v>
      </c>
      <c r="AE2" s="40">
        <v>5027770</v>
      </c>
      <c r="AF2" s="40">
        <v>5088163</v>
      </c>
      <c r="AG2" s="40">
        <v>5142928</v>
      </c>
      <c r="AH2" s="40">
        <v>5193870</v>
      </c>
      <c r="AI2" s="40"/>
    </row>
    <row r="3" spans="1:37" x14ac:dyDescent="0.25">
      <c r="A3" s="43" t="s">
        <v>81</v>
      </c>
      <c r="B3" s="40">
        <v>391300</v>
      </c>
      <c r="C3" s="40">
        <v>399600</v>
      </c>
      <c r="D3" s="40">
        <v>407800</v>
      </c>
      <c r="E3" s="40">
        <v>415900</v>
      </c>
      <c r="F3" s="40">
        <v>423400</v>
      </c>
      <c r="G3" s="40">
        <v>430100</v>
      </c>
      <c r="H3" s="40">
        <v>436300</v>
      </c>
      <c r="I3" s="40">
        <v>442200</v>
      </c>
      <c r="J3" s="40">
        <v>447900</v>
      </c>
      <c r="K3" s="40">
        <v>453500</v>
      </c>
      <c r="L3" s="40">
        <v>460600</v>
      </c>
      <c r="M3" s="40">
        <v>467500</v>
      </c>
      <c r="N3" s="40">
        <v>475700</v>
      </c>
      <c r="O3" s="40">
        <v>484600</v>
      </c>
      <c r="P3" s="40">
        <v>496400</v>
      </c>
      <c r="Q3" s="40">
        <v>511600</v>
      </c>
      <c r="R3" s="40">
        <v>525300</v>
      </c>
      <c r="S3" s="40">
        <v>535000</v>
      </c>
      <c r="T3" s="40">
        <v>548300</v>
      </c>
      <c r="U3" s="40">
        <v>563500</v>
      </c>
      <c r="V3" s="40">
        <v>580100</v>
      </c>
      <c r="W3" s="40">
        <v>603000</v>
      </c>
      <c r="X3" s="40">
        <v>626000</v>
      </c>
      <c r="Y3" s="40">
        <v>650400</v>
      </c>
      <c r="Z3" s="40">
        <v>674300</v>
      </c>
      <c r="AA3" s="40">
        <v>698400</v>
      </c>
      <c r="AB3" s="40">
        <v>723100</v>
      </c>
      <c r="AC3" s="50">
        <v>741800</v>
      </c>
      <c r="AD3" s="50">
        <f>+AD7/AD6*AD2</f>
        <v>777190.59895516955</v>
      </c>
      <c r="AE3" s="50">
        <f t="shared" ref="AE3:AH3" si="1">+AE7/AE6*AE2</f>
        <v>804555.7252762625</v>
      </c>
      <c r="AF3" s="50">
        <f t="shared" si="1"/>
        <v>832964.90404030425</v>
      </c>
      <c r="AG3" s="50">
        <f t="shared" si="1"/>
        <v>862757.42330423894</v>
      </c>
      <c r="AH3" s="50">
        <f t="shared" si="1"/>
        <v>891876.66666666663</v>
      </c>
      <c r="AI3" s="40"/>
    </row>
    <row r="4" spans="1:37" x14ac:dyDescent="0.25">
      <c r="A4" s="121" t="s">
        <v>82</v>
      </c>
      <c r="B4" s="121"/>
      <c r="C4" s="121"/>
      <c r="D4" s="121"/>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121"/>
      <c r="AG4" s="121"/>
      <c r="AH4" s="121"/>
      <c r="AI4" s="121"/>
    </row>
    <row r="5" spans="1:37" x14ac:dyDescent="0.25">
      <c r="A5" s="121" t="s">
        <v>83</v>
      </c>
      <c r="B5" s="121"/>
      <c r="C5" s="121"/>
      <c r="D5" s="121"/>
      <c r="E5" s="40"/>
      <c r="F5" s="121"/>
      <c r="G5" s="121"/>
      <c r="H5" s="121"/>
      <c r="I5" s="121"/>
      <c r="J5" s="121"/>
      <c r="K5" s="121"/>
      <c r="L5" s="121"/>
      <c r="M5" s="121"/>
      <c r="N5" s="121"/>
      <c r="O5" s="121"/>
      <c r="P5" s="121"/>
      <c r="Q5" s="121"/>
      <c r="R5" s="121"/>
      <c r="S5" s="121"/>
      <c r="T5" s="121"/>
      <c r="U5" s="121"/>
      <c r="V5" s="121"/>
      <c r="W5" s="121"/>
      <c r="X5" s="121"/>
      <c r="Y5" s="121" t="s">
        <v>84</v>
      </c>
      <c r="Z5" s="121"/>
      <c r="AA5" s="47"/>
      <c r="AB5" s="48" t="s">
        <v>85</v>
      </c>
      <c r="AC5" s="48" t="s">
        <v>86</v>
      </c>
      <c r="AD5" s="48" t="s">
        <v>87</v>
      </c>
      <c r="AE5" s="48" t="s">
        <v>88</v>
      </c>
      <c r="AF5" s="48" t="s">
        <v>89</v>
      </c>
      <c r="AG5" s="48" t="s">
        <v>90</v>
      </c>
      <c r="AH5" s="48" t="s">
        <v>91</v>
      </c>
      <c r="AI5" s="121"/>
    </row>
    <row r="6" spans="1:37" x14ac:dyDescent="0.25">
      <c r="A6" s="121"/>
      <c r="B6" s="121"/>
      <c r="C6" s="121"/>
      <c r="D6" s="121"/>
      <c r="E6" s="40"/>
      <c r="F6" s="121"/>
      <c r="G6" s="121"/>
      <c r="H6" s="121"/>
      <c r="I6" s="121"/>
      <c r="J6" s="121"/>
      <c r="K6" s="121"/>
      <c r="L6" s="121"/>
      <c r="M6" s="121"/>
      <c r="N6" s="121"/>
      <c r="O6" s="121"/>
      <c r="P6" s="121"/>
      <c r="Q6" s="121"/>
      <c r="R6" s="121"/>
      <c r="S6" s="121"/>
      <c r="T6" s="121"/>
      <c r="U6" s="121"/>
      <c r="V6" s="121"/>
      <c r="W6" s="121"/>
      <c r="X6" s="121"/>
      <c r="Y6" s="121"/>
      <c r="Z6" s="121"/>
      <c r="AA6" s="49"/>
      <c r="AB6" s="49">
        <v>4782700</v>
      </c>
      <c r="AC6" s="164">
        <v>4864600</v>
      </c>
      <c r="AD6" s="164">
        <v>4938600</v>
      </c>
      <c r="AE6" s="164">
        <v>5004300</v>
      </c>
      <c r="AF6" s="164">
        <v>5061500</v>
      </c>
      <c r="AG6" s="164">
        <v>5109800</v>
      </c>
      <c r="AH6" s="164">
        <v>5157900</v>
      </c>
      <c r="AI6" s="121">
        <v>5205600</v>
      </c>
    </row>
    <row r="7" spans="1:37" x14ac:dyDescent="0.25">
      <c r="A7" s="121"/>
      <c r="B7" s="121"/>
      <c r="C7" s="121"/>
      <c r="D7" s="121"/>
      <c r="E7" s="40"/>
      <c r="F7" s="121"/>
      <c r="G7" s="121"/>
      <c r="H7" s="121"/>
      <c r="I7" s="121"/>
      <c r="J7" s="121"/>
      <c r="K7" s="121"/>
      <c r="L7" s="121"/>
      <c r="M7" s="121"/>
      <c r="N7" s="121"/>
      <c r="O7" s="121"/>
      <c r="P7" s="121"/>
      <c r="Q7" s="121"/>
      <c r="R7" s="121"/>
      <c r="S7" s="121"/>
      <c r="T7" s="121"/>
      <c r="U7" s="121"/>
      <c r="V7" s="121"/>
      <c r="W7" s="121"/>
      <c r="X7" s="121"/>
      <c r="Y7" s="121"/>
      <c r="Z7" s="121"/>
      <c r="AA7" s="121"/>
      <c r="AB7" s="121">
        <v>723100</v>
      </c>
      <c r="AC7" s="164">
        <v>747900</v>
      </c>
      <c r="AD7" s="164">
        <v>774000</v>
      </c>
      <c r="AE7" s="164">
        <v>800800</v>
      </c>
      <c r="AF7" s="164">
        <v>828600</v>
      </c>
      <c r="AG7" s="164">
        <v>857200</v>
      </c>
      <c r="AH7" s="164">
        <v>885700</v>
      </c>
      <c r="AI7" s="121">
        <v>916200</v>
      </c>
    </row>
    <row r="8" spans="1:37" x14ac:dyDescent="0.25">
      <c r="A8" s="121"/>
      <c r="B8" s="121"/>
      <c r="C8" s="121"/>
      <c r="D8" s="121"/>
      <c r="E8" s="40"/>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row>
    <row r="9" spans="1:37" x14ac:dyDescent="0.25">
      <c r="A9" s="121"/>
      <c r="B9" s="121"/>
      <c r="C9" s="121"/>
      <c r="D9" s="121"/>
      <c r="E9" s="40"/>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row>
    <row r="10" spans="1:37" x14ac:dyDescent="0.25">
      <c r="A10" s="121"/>
      <c r="B10" s="121"/>
      <c r="C10" s="121"/>
      <c r="D10" s="121"/>
      <c r="E10" s="40"/>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row>
    <row r="11" spans="1:37" x14ac:dyDescent="0.25">
      <c r="A11" s="121"/>
      <c r="B11" s="146">
        <v>33390</v>
      </c>
      <c r="C11" s="146">
        <v>33756</v>
      </c>
      <c r="D11" s="146">
        <v>34121</v>
      </c>
      <c r="E11" s="146">
        <v>34486</v>
      </c>
      <c r="F11" s="146">
        <v>34851</v>
      </c>
      <c r="G11" s="146">
        <v>35217</v>
      </c>
      <c r="H11" s="146">
        <v>35582</v>
      </c>
      <c r="I11" s="146">
        <v>35947</v>
      </c>
      <c r="J11" s="146">
        <v>36312</v>
      </c>
      <c r="K11" s="146">
        <v>36678</v>
      </c>
      <c r="L11" s="146">
        <v>37043</v>
      </c>
      <c r="M11" s="146">
        <v>37408</v>
      </c>
      <c r="N11" s="146">
        <v>37773</v>
      </c>
      <c r="O11" s="146">
        <v>38139</v>
      </c>
      <c r="P11" s="146">
        <v>38504</v>
      </c>
      <c r="Q11" s="146">
        <v>38869</v>
      </c>
      <c r="R11" s="146">
        <v>39234</v>
      </c>
      <c r="S11" s="146">
        <v>39600</v>
      </c>
      <c r="T11" s="146">
        <v>39965</v>
      </c>
      <c r="U11" s="146">
        <v>40330</v>
      </c>
      <c r="V11" s="146">
        <v>40695</v>
      </c>
      <c r="W11" s="146">
        <v>41061</v>
      </c>
      <c r="X11" s="146">
        <v>41426</v>
      </c>
      <c r="Y11" s="146">
        <v>41791</v>
      </c>
      <c r="Z11" s="146">
        <v>42156</v>
      </c>
      <c r="AA11" s="146">
        <v>42522</v>
      </c>
      <c r="AB11" s="146">
        <v>42887</v>
      </c>
      <c r="AC11" s="146">
        <v>43252</v>
      </c>
      <c r="AD11" s="146">
        <v>43617</v>
      </c>
      <c r="AE11" s="146">
        <v>43983</v>
      </c>
      <c r="AF11" s="146">
        <v>44348</v>
      </c>
      <c r="AG11" s="146">
        <v>44713</v>
      </c>
      <c r="AH11" s="146">
        <v>45078</v>
      </c>
      <c r="AI11" s="121"/>
    </row>
    <row r="12" spans="1:37" x14ac:dyDescent="0.25">
      <c r="A12" s="121"/>
      <c r="B12" s="121"/>
      <c r="C12" s="121"/>
      <c r="D12" s="121"/>
      <c r="E12" s="40"/>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row>
    <row r="13" spans="1:37" x14ac:dyDescent="0.25">
      <c r="A13" s="121"/>
      <c r="B13" s="121"/>
      <c r="C13" s="121"/>
      <c r="D13" s="121"/>
      <c r="E13" s="40"/>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row>
    <row r="14" spans="1:37" x14ac:dyDescent="0.25">
      <c r="A14" s="121"/>
      <c r="B14" s="121"/>
      <c r="C14" s="121"/>
      <c r="D14" s="121"/>
      <c r="E14" s="40"/>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row>
    <row r="15" spans="1:37" x14ac:dyDescent="0.25">
      <c r="A15" s="121"/>
      <c r="B15" s="121"/>
      <c r="C15" s="121"/>
      <c r="D15" s="121"/>
      <c r="E15" s="40"/>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row>
    <row r="16" spans="1:37" x14ac:dyDescent="0.25">
      <c r="A16" s="121"/>
      <c r="B16" s="121"/>
      <c r="C16" s="121"/>
      <c r="D16" s="121"/>
      <c r="E16" s="40"/>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64"/>
      <c r="AE16" s="164"/>
      <c r="AF16" s="164"/>
      <c r="AG16" s="164"/>
      <c r="AH16" s="164"/>
      <c r="AI16" s="164"/>
      <c r="AJ16" s="164"/>
      <c r="AK16" s="164"/>
    </row>
    <row r="17" spans="5:37" x14ac:dyDescent="0.25">
      <c r="E17" s="40"/>
      <c r="AD17" s="164"/>
      <c r="AE17" s="164"/>
      <c r="AF17" s="164"/>
      <c r="AG17" s="164"/>
      <c r="AH17" s="164"/>
      <c r="AI17" s="164"/>
      <c r="AJ17" s="164"/>
      <c r="AK17" s="164"/>
    </row>
    <row r="18" spans="5:37" x14ac:dyDescent="0.25">
      <c r="E18" s="40"/>
    </row>
    <row r="19" spans="5:37" x14ac:dyDescent="0.25">
      <c r="E19" s="40"/>
    </row>
    <row r="20" spans="5:37" x14ac:dyDescent="0.25">
      <c r="E20" s="40"/>
    </row>
    <row r="21" spans="5:37" x14ac:dyDescent="0.25">
      <c r="E21" s="40"/>
    </row>
    <row r="22" spans="5:37" x14ac:dyDescent="0.25">
      <c r="E22" s="40"/>
    </row>
    <row r="23" spans="5:37" x14ac:dyDescent="0.25">
      <c r="E23" s="40"/>
    </row>
    <row r="24" spans="5:37" x14ac:dyDescent="0.25">
      <c r="E24" s="40"/>
    </row>
    <row r="25" spans="5:37" x14ac:dyDescent="0.25">
      <c r="E25" s="40"/>
    </row>
    <row r="26" spans="5:37" x14ac:dyDescent="0.25">
      <c r="E26" s="40"/>
    </row>
    <row r="27" spans="5:37" x14ac:dyDescent="0.25">
      <c r="E27" s="40"/>
    </row>
    <row r="28" spans="5:37" x14ac:dyDescent="0.25">
      <c r="E28" s="4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34"/>
  <sheetViews>
    <sheetView workbookViewId="0">
      <selection activeCell="A29" sqref="A29"/>
    </sheetView>
  </sheetViews>
  <sheetFormatPr defaultRowHeight="15" x14ac:dyDescent="0.25"/>
  <sheetData>
    <row r="1" spans="1:32" x14ac:dyDescent="0.25">
      <c r="A1" s="121"/>
      <c r="B1" s="121">
        <v>1993</v>
      </c>
      <c r="C1" s="121">
        <f>+B1+1</f>
        <v>1994</v>
      </c>
      <c r="D1" s="121">
        <f t="shared" ref="D1:Y1" si="0">+C1+1</f>
        <v>1995</v>
      </c>
      <c r="E1" s="121">
        <f t="shared" si="0"/>
        <v>1996</v>
      </c>
      <c r="F1" s="121">
        <f t="shared" si="0"/>
        <v>1997</v>
      </c>
      <c r="G1" s="121">
        <f t="shared" si="0"/>
        <v>1998</v>
      </c>
      <c r="H1" s="121">
        <f t="shared" si="0"/>
        <v>1999</v>
      </c>
      <c r="I1" s="121">
        <f t="shared" si="0"/>
        <v>2000</v>
      </c>
      <c r="J1" s="121">
        <f t="shared" si="0"/>
        <v>2001</v>
      </c>
      <c r="K1" s="121">
        <f t="shared" si="0"/>
        <v>2002</v>
      </c>
      <c r="L1" s="121">
        <f t="shared" si="0"/>
        <v>2003</v>
      </c>
      <c r="M1" s="121">
        <f t="shared" si="0"/>
        <v>2004</v>
      </c>
      <c r="N1" s="121">
        <f t="shared" si="0"/>
        <v>2005</v>
      </c>
      <c r="O1" s="121">
        <f t="shared" si="0"/>
        <v>2006</v>
      </c>
      <c r="P1" s="121">
        <f t="shared" si="0"/>
        <v>2007</v>
      </c>
      <c r="Q1" s="121">
        <f t="shared" si="0"/>
        <v>2008</v>
      </c>
      <c r="R1" s="121">
        <f t="shared" si="0"/>
        <v>2009</v>
      </c>
      <c r="S1" s="121">
        <f t="shared" si="0"/>
        <v>2010</v>
      </c>
      <c r="T1" s="121">
        <f t="shared" si="0"/>
        <v>2011</v>
      </c>
      <c r="U1" s="121">
        <f t="shared" si="0"/>
        <v>2012</v>
      </c>
      <c r="V1" s="121">
        <f t="shared" si="0"/>
        <v>2013</v>
      </c>
      <c r="W1" s="121">
        <f t="shared" si="0"/>
        <v>2014</v>
      </c>
      <c r="X1" s="121">
        <f t="shared" si="0"/>
        <v>2015</v>
      </c>
      <c r="Y1" s="121">
        <f t="shared" si="0"/>
        <v>2016</v>
      </c>
      <c r="Z1" s="121">
        <v>2017</v>
      </c>
      <c r="AA1" s="121">
        <v>2018</v>
      </c>
      <c r="AB1" s="121">
        <f>+AA1+1</f>
        <v>2019</v>
      </c>
      <c r="AC1" s="121">
        <f t="shared" ref="AC1:AD1" si="1">+AB1+1</f>
        <v>2020</v>
      </c>
      <c r="AD1" s="121">
        <f t="shared" si="1"/>
        <v>2021</v>
      </c>
      <c r="AE1" s="121">
        <v>2022</v>
      </c>
      <c r="AF1" s="121"/>
    </row>
    <row r="2" spans="1:32" x14ac:dyDescent="0.25">
      <c r="A2" s="121" t="s">
        <v>92</v>
      </c>
      <c r="B2" s="121">
        <v>614.33950500000003</v>
      </c>
      <c r="C2" s="121">
        <v>621.05798100000004</v>
      </c>
      <c r="D2" s="121">
        <v>649.51283000000001</v>
      </c>
      <c r="E2" s="121">
        <v>662.50308600000005</v>
      </c>
      <c r="F2" s="121">
        <v>669.92609000000004</v>
      </c>
      <c r="G2" s="121">
        <v>681.06059500000003</v>
      </c>
      <c r="H2" s="121">
        <v>678.58626000000004</v>
      </c>
      <c r="I2" s="121">
        <v>692.15798600000005</v>
      </c>
      <c r="J2" s="121">
        <v>714.551332</v>
      </c>
      <c r="K2" s="121">
        <v>734.23033399999997</v>
      </c>
      <c r="L2" s="121">
        <v>745.08771400000001</v>
      </c>
      <c r="M2" s="121">
        <v>762.73095699999999</v>
      </c>
      <c r="N2" s="121">
        <v>784.44571699999995</v>
      </c>
      <c r="O2" s="121">
        <v>815.66068499999994</v>
      </c>
      <c r="P2" s="121">
        <v>831.97389899999996</v>
      </c>
      <c r="Q2" s="121">
        <v>865.41598699999997</v>
      </c>
      <c r="R2" s="121">
        <v>881.72920099999999</v>
      </c>
      <c r="S2" s="121">
        <v>896.41109300000005</v>
      </c>
      <c r="T2" s="121">
        <v>943.71941300000003</v>
      </c>
      <c r="U2" s="121">
        <v>952.69168000000002</v>
      </c>
      <c r="V2" s="121">
        <v>959.21696599999996</v>
      </c>
      <c r="W2" s="121">
        <v>974.714519</v>
      </c>
      <c r="X2" s="121">
        <v>978.792822</v>
      </c>
      <c r="Y2" s="121">
        <v>982.871126</v>
      </c>
      <c r="Z2" s="110">
        <v>1000</v>
      </c>
      <c r="AA2" s="164">
        <v>1014</v>
      </c>
      <c r="AB2" s="164">
        <v>1038</v>
      </c>
      <c r="AC2" s="164">
        <v>1059</v>
      </c>
      <c r="AD2" s="164">
        <v>1080</v>
      </c>
      <c r="AE2" s="164">
        <v>1102</v>
      </c>
      <c r="AF2" s="121"/>
    </row>
    <row r="3" spans="1:32" x14ac:dyDescent="0.25">
      <c r="A3" s="121" t="s">
        <v>93</v>
      </c>
      <c r="B3" s="121">
        <f>B2/$X$2</f>
        <v>0.62765019439425351</v>
      </c>
      <c r="C3" s="121">
        <f t="shared" ref="C3:AE3" si="2">C2/$X$2</f>
        <v>0.63451423737555779</v>
      </c>
      <c r="D3" s="121">
        <f t="shared" si="2"/>
        <v>0.66358560810941458</v>
      </c>
      <c r="E3" s="121">
        <f t="shared" si="2"/>
        <v>0.67685731965860296</v>
      </c>
      <c r="F3" s="121">
        <f t="shared" si="2"/>
        <v>0.68444115541337724</v>
      </c>
      <c r="G3" s="121">
        <f t="shared" si="2"/>
        <v>0.69581690802387186</v>
      </c>
      <c r="H3" s="121">
        <f t="shared" si="2"/>
        <v>0.69328896243172489</v>
      </c>
      <c r="I3" s="121">
        <f t="shared" si="2"/>
        <v>0.70715474249769283</v>
      </c>
      <c r="J3" s="121">
        <f t="shared" si="2"/>
        <v>0.73003327766537296</v>
      </c>
      <c r="K3" s="121">
        <f t="shared" si="2"/>
        <v>0.75013865804585966</v>
      </c>
      <c r="L3" s="121">
        <f t="shared" si="2"/>
        <v>0.76123128128130058</v>
      </c>
      <c r="M3" s="121">
        <f t="shared" si="2"/>
        <v>0.77925679454972541</v>
      </c>
      <c r="N3" s="121">
        <f t="shared" si="2"/>
        <v>0.80144204102060723</v>
      </c>
      <c r="O3" s="121">
        <f t="shared" si="2"/>
        <v>0.83333333333333326</v>
      </c>
      <c r="P3" s="121">
        <f t="shared" si="2"/>
        <v>0.85000000030649991</v>
      </c>
      <c r="Q3" s="121">
        <f t="shared" si="2"/>
        <v>0.88416666688632495</v>
      </c>
      <c r="R3" s="121">
        <f t="shared" si="2"/>
        <v>0.9008333338594916</v>
      </c>
      <c r="S3" s="121">
        <f t="shared" si="2"/>
        <v>0.91583333352234175</v>
      </c>
      <c r="T3" s="121">
        <f t="shared" si="2"/>
        <v>0.96416666713152499</v>
      </c>
      <c r="U3" s="121">
        <f t="shared" si="2"/>
        <v>0.97333333325159999</v>
      </c>
      <c r="V3" s="121">
        <f t="shared" si="2"/>
        <v>0.98000000044953328</v>
      </c>
      <c r="W3" s="121">
        <f t="shared" si="2"/>
        <v>0.99583333376754168</v>
      </c>
      <c r="X3" s="121">
        <f t="shared" si="2"/>
        <v>1</v>
      </c>
      <c r="Y3" s="121">
        <f t="shared" si="2"/>
        <v>1.004166667254125</v>
      </c>
      <c r="Z3" s="121">
        <f t="shared" si="2"/>
        <v>1.0216666668607832</v>
      </c>
      <c r="AA3" s="121">
        <f t="shared" si="2"/>
        <v>1.0359700001968344</v>
      </c>
      <c r="AB3" s="121">
        <f t="shared" si="2"/>
        <v>1.0604900002014932</v>
      </c>
      <c r="AC3" s="121">
        <f t="shared" si="2"/>
        <v>1.0819450002055695</v>
      </c>
      <c r="AD3" s="121">
        <f t="shared" si="2"/>
        <v>1.103400000209646</v>
      </c>
      <c r="AE3" s="164">
        <f t="shared" si="2"/>
        <v>1.1258766668805833</v>
      </c>
      <c r="AF3" s="121"/>
    </row>
    <row r="5" spans="1:32" x14ac:dyDescent="0.25">
      <c r="A5" s="121" t="s">
        <v>94</v>
      </c>
      <c r="B5" s="121"/>
      <c r="C5" s="121"/>
      <c r="D5" s="121"/>
      <c r="E5" s="121"/>
      <c r="F5" s="121"/>
      <c r="G5" s="121"/>
      <c r="H5" s="121"/>
      <c r="I5" s="121"/>
      <c r="J5" s="121"/>
      <c r="K5" s="121"/>
      <c r="L5" s="124"/>
      <c r="M5" s="124"/>
      <c r="N5" s="132"/>
      <c r="O5" s="132"/>
      <c r="P5" s="132"/>
      <c r="Q5" s="132"/>
      <c r="R5" s="132"/>
      <c r="S5" s="132"/>
      <c r="T5" s="132"/>
      <c r="U5" s="132"/>
      <c r="V5" s="132"/>
      <c r="W5" s="132"/>
      <c r="X5" s="132"/>
      <c r="Y5" s="132"/>
      <c r="Z5" s="133"/>
      <c r="AA5" s="133"/>
      <c r="AB5" s="133"/>
      <c r="AC5" s="133"/>
      <c r="AD5" s="133"/>
      <c r="AE5" s="121"/>
      <c r="AF5" s="121"/>
    </row>
    <row r="6" spans="1:32" x14ac:dyDescent="0.25">
      <c r="A6" s="121" t="s">
        <v>95</v>
      </c>
      <c r="B6" s="121"/>
      <c r="C6" s="121"/>
      <c r="D6" s="121"/>
      <c r="E6" s="121"/>
      <c r="F6" s="121"/>
      <c r="G6" s="121"/>
      <c r="H6" s="121"/>
      <c r="I6" s="121"/>
      <c r="J6" s="121"/>
      <c r="K6" s="121"/>
      <c r="L6" s="124"/>
      <c r="M6" s="124"/>
      <c r="N6" s="134"/>
      <c r="O6" s="134"/>
      <c r="P6" s="134"/>
      <c r="Q6" s="134"/>
      <c r="R6" s="134"/>
      <c r="S6" s="134"/>
      <c r="T6" s="134"/>
      <c r="U6" s="134"/>
      <c r="V6" s="134"/>
      <c r="W6" s="134"/>
      <c r="X6" s="134"/>
      <c r="Y6" s="134"/>
      <c r="Z6" s="135"/>
      <c r="AA6" s="135"/>
      <c r="AB6" s="135"/>
      <c r="AC6" s="135"/>
      <c r="AD6" s="135"/>
      <c r="AE6" s="121"/>
      <c r="AF6" s="121"/>
    </row>
    <row r="7" spans="1:32" x14ac:dyDescent="0.25">
      <c r="A7" s="121" t="s">
        <v>96</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row>
    <row r="9" spans="1:32" x14ac:dyDescent="0.25">
      <c r="A9" s="121" t="s">
        <v>97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row>
    <row r="10" spans="1:32" x14ac:dyDescent="0.25">
      <c r="A10" s="121" t="s">
        <v>98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row>
    <row r="11" spans="1:32" x14ac:dyDescent="0.25">
      <c r="A11" s="121" t="s">
        <v>99</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row>
    <row r="12" spans="1:32" x14ac:dyDescent="0.25">
      <c r="A12" s="121" t="s">
        <v>100</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row>
    <row r="13" spans="1:32" x14ac:dyDescent="0.25">
      <c r="A13" s="121" t="s">
        <v>101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row>
    <row r="15" spans="1:32" x14ac:dyDescent="0.25">
      <c r="A15" s="121" t="s">
        <v>102</v>
      </c>
      <c r="B15" s="121"/>
      <c r="C15" s="121"/>
      <c r="D15" s="121"/>
      <c r="E15" s="121"/>
      <c r="F15" s="121"/>
      <c r="G15" s="121"/>
      <c r="H15" s="121"/>
      <c r="I15" s="121"/>
      <c r="J15" s="121"/>
      <c r="K15" s="121"/>
      <c r="L15" s="121"/>
      <c r="M15" s="121"/>
      <c r="N15" s="121"/>
      <c r="O15" s="121"/>
      <c r="P15" s="121"/>
      <c r="Q15" s="121"/>
      <c r="R15" s="162"/>
      <c r="S15" s="121"/>
      <c r="T15" s="121"/>
      <c r="U15" s="121"/>
      <c r="V15" s="121"/>
      <c r="W15" s="121"/>
      <c r="X15" s="121"/>
      <c r="Y15" s="121"/>
      <c r="Z15" s="121"/>
      <c r="AA15" s="121"/>
      <c r="AB15" s="121"/>
      <c r="AC15" s="121"/>
    </row>
    <row r="16" spans="1:32" x14ac:dyDescent="0.25">
      <c r="A16" s="121" t="s">
        <v>103</v>
      </c>
      <c r="B16" s="121"/>
      <c r="C16" s="121"/>
      <c r="D16" s="121"/>
      <c r="E16" s="121"/>
      <c r="F16" s="121"/>
      <c r="G16" s="121"/>
      <c r="H16" s="121"/>
      <c r="I16" s="121"/>
      <c r="J16" s="121"/>
      <c r="K16" s="121"/>
      <c r="L16" s="121"/>
      <c r="M16" s="121"/>
      <c r="N16" s="121"/>
      <c r="O16" s="121"/>
      <c r="P16" s="121"/>
      <c r="Q16" s="121"/>
      <c r="R16" s="162"/>
      <c r="T16" s="121"/>
      <c r="U16" s="121"/>
      <c r="V16" s="121"/>
      <c r="W16" s="121"/>
      <c r="X16" s="121"/>
      <c r="Y16" s="121"/>
      <c r="Z16" s="121"/>
      <c r="AA16" s="121"/>
      <c r="AB16" s="121"/>
      <c r="AC16" s="121"/>
    </row>
    <row r="17" spans="1:18" x14ac:dyDescent="0.25">
      <c r="A17" s="121" t="s">
        <v>104</v>
      </c>
      <c r="R17" s="162"/>
    </row>
    <row r="18" spans="1:18" x14ac:dyDescent="0.25">
      <c r="A18" s="121" t="s">
        <v>105</v>
      </c>
      <c r="R18" s="162"/>
    </row>
    <row r="19" spans="1:18" x14ac:dyDescent="0.25">
      <c r="A19" s="121" t="s">
        <v>106</v>
      </c>
      <c r="R19" s="162"/>
    </row>
    <row r="20" spans="1:18" x14ac:dyDescent="0.25">
      <c r="A20" s="121" t="s">
        <v>107</v>
      </c>
    </row>
    <row r="21" spans="1:18" x14ac:dyDescent="0.25">
      <c r="A21" s="121" t="s">
        <v>108</v>
      </c>
    </row>
    <row r="23" spans="1:18" x14ac:dyDescent="0.25">
      <c r="A23" s="121" t="s">
        <v>109</v>
      </c>
    </row>
    <row r="25" spans="1:18" x14ac:dyDescent="0.25">
      <c r="A25" s="121" t="s">
        <v>110</v>
      </c>
    </row>
    <row r="26" spans="1:18" x14ac:dyDescent="0.25">
      <c r="A26" s="121" t="s">
        <v>111</v>
      </c>
    </row>
    <row r="28" spans="1:18" x14ac:dyDescent="0.25">
      <c r="A28" s="121" t="s">
        <v>112</v>
      </c>
    </row>
    <row r="29" spans="1:18" x14ac:dyDescent="0.25">
      <c r="A29" s="121" t="s">
        <v>113</v>
      </c>
    </row>
    <row r="31" spans="1:18" x14ac:dyDescent="0.25">
      <c r="A31" s="121" t="s">
        <v>114</v>
      </c>
    </row>
    <row r="32" spans="1:18" x14ac:dyDescent="0.25">
      <c r="A32" s="121" t="s">
        <v>115</v>
      </c>
    </row>
    <row r="33" spans="1:1" x14ac:dyDescent="0.25">
      <c r="A33" s="121" t="s">
        <v>116</v>
      </c>
    </row>
    <row r="34" spans="1:1" x14ac:dyDescent="0.25">
      <c r="A34" s="121" t="s">
        <v>117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5"/>
  <sheetViews>
    <sheetView topLeftCell="K1" workbookViewId="0">
      <selection activeCell="AE3" sqref="AE3"/>
    </sheetView>
  </sheetViews>
  <sheetFormatPr defaultRowHeight="15" x14ac:dyDescent="0.25"/>
  <cols>
    <col min="1" max="1" width="27.7109375" bestFit="1" customWidth="1"/>
    <col min="2" max="7" width="9.5703125" customWidth="1"/>
  </cols>
  <sheetData>
    <row r="1" spans="1:31" s="61" customFormat="1" x14ac:dyDescent="0.25">
      <c r="A1" s="56"/>
      <c r="B1" s="107">
        <f t="shared" ref="B1:E1" si="0">+C1-1</f>
        <v>1993</v>
      </c>
      <c r="C1" s="107">
        <f t="shared" si="0"/>
        <v>1994</v>
      </c>
      <c r="D1" s="107">
        <f t="shared" si="0"/>
        <v>1995</v>
      </c>
      <c r="E1" s="107">
        <f t="shared" si="0"/>
        <v>1996</v>
      </c>
      <c r="F1" s="107">
        <f>+G1-1</f>
        <v>1997</v>
      </c>
      <c r="G1" s="57">
        <v>1998</v>
      </c>
      <c r="H1" s="58">
        <v>1999</v>
      </c>
      <c r="I1" s="59">
        <v>2000</v>
      </c>
      <c r="J1" s="58">
        <v>2001</v>
      </c>
      <c r="K1" s="59">
        <v>2002</v>
      </c>
      <c r="L1" s="58">
        <v>2003</v>
      </c>
      <c r="M1" s="59">
        <v>2004</v>
      </c>
      <c r="N1" s="58">
        <v>2005</v>
      </c>
      <c r="O1" s="59">
        <v>2006</v>
      </c>
      <c r="P1" s="58">
        <v>2007</v>
      </c>
      <c r="Q1" s="59">
        <v>2008</v>
      </c>
      <c r="R1" s="58">
        <v>2009</v>
      </c>
      <c r="S1" s="59">
        <v>2010</v>
      </c>
      <c r="T1" s="58">
        <v>2011</v>
      </c>
      <c r="U1" s="59">
        <v>2012</v>
      </c>
      <c r="V1" s="58">
        <v>2013</v>
      </c>
      <c r="W1" s="59">
        <v>2014</v>
      </c>
      <c r="X1" s="58">
        <v>2015</v>
      </c>
      <c r="Y1" s="60">
        <v>2016</v>
      </c>
      <c r="Z1" s="16">
        <f t="shared" ref="Z1:AE1" si="1">+Y1+1</f>
        <v>2017</v>
      </c>
      <c r="AA1" s="16">
        <f t="shared" si="1"/>
        <v>2018</v>
      </c>
      <c r="AB1" s="16">
        <f t="shared" si="1"/>
        <v>2019</v>
      </c>
      <c r="AC1" s="16">
        <f t="shared" si="1"/>
        <v>2020</v>
      </c>
      <c r="AD1" s="16">
        <f t="shared" si="1"/>
        <v>2021</v>
      </c>
      <c r="AE1" s="16">
        <f t="shared" si="1"/>
        <v>2022</v>
      </c>
    </row>
    <row r="2" spans="1:31" x14ac:dyDescent="0.25">
      <c r="A2" s="62"/>
      <c r="B2" s="108"/>
      <c r="C2" s="108"/>
      <c r="D2" s="108"/>
      <c r="E2" s="108"/>
      <c r="F2" s="108"/>
      <c r="G2" s="63"/>
      <c r="H2" s="64"/>
      <c r="I2" s="65"/>
      <c r="J2" s="64"/>
      <c r="K2" s="65"/>
      <c r="L2" s="64"/>
      <c r="M2" s="65"/>
      <c r="N2" s="66"/>
      <c r="O2" s="67"/>
      <c r="P2" s="66"/>
      <c r="Q2" s="67"/>
      <c r="R2" s="66"/>
      <c r="S2" s="67"/>
      <c r="T2" s="68"/>
      <c r="U2" s="69"/>
      <c r="V2" s="68"/>
      <c r="W2" s="69"/>
      <c r="X2" s="68"/>
      <c r="Y2" s="70"/>
      <c r="Z2" s="121"/>
      <c r="AA2" s="121"/>
      <c r="AB2" s="121"/>
      <c r="AC2" s="121"/>
      <c r="AD2" s="121"/>
    </row>
    <row r="3" spans="1:31" x14ac:dyDescent="0.25">
      <c r="A3" s="71" t="s">
        <v>118</v>
      </c>
      <c r="B3" s="109">
        <f t="shared" ref="B3:E3" si="2">+C3/C4</f>
        <v>5161.0493261520105</v>
      </c>
      <c r="C3" s="109">
        <f t="shared" si="2"/>
        <v>4953.9160545010855</v>
      </c>
      <c r="D3" s="109">
        <f t="shared" si="2"/>
        <v>4935.0500996539777</v>
      </c>
      <c r="E3" s="109">
        <f t="shared" si="2"/>
        <v>5019.8915568495422</v>
      </c>
      <c r="F3" s="109">
        <f>+G3/G4</f>
        <v>5086.5156006676298</v>
      </c>
      <c r="G3" s="72">
        <v>5106</v>
      </c>
      <c r="H3" s="12">
        <v>5071</v>
      </c>
      <c r="I3" s="11">
        <v>5068</v>
      </c>
      <c r="J3" s="12">
        <v>5273</v>
      </c>
      <c r="K3" s="11">
        <v>5450</v>
      </c>
      <c r="L3" s="12">
        <v>5642</v>
      </c>
      <c r="M3" s="11">
        <v>5889</v>
      </c>
      <c r="N3" s="12">
        <v>6083</v>
      </c>
      <c r="O3" s="11">
        <v>6414</v>
      </c>
      <c r="P3" s="12">
        <v>6810</v>
      </c>
      <c r="Q3" s="11">
        <v>7348</v>
      </c>
      <c r="R3" s="12">
        <v>7744</v>
      </c>
      <c r="S3" s="11">
        <v>8290</v>
      </c>
      <c r="T3" s="12">
        <v>8830</v>
      </c>
      <c r="U3" s="11">
        <v>9584</v>
      </c>
      <c r="V3" s="12">
        <v>10235</v>
      </c>
      <c r="W3" s="11">
        <v>10913</v>
      </c>
      <c r="X3" s="12">
        <v>11591</v>
      </c>
      <c r="Y3" s="73">
        <f>INDEX('From Fiscal forecasts'!$E:$L,MATCH('NZ SUPER'!$A3,'From Fiscal forecasts'!$B:$B,0),MATCH('NZ SUPER'!Y$1,'From Fiscal forecasts'!$E$7:$L$7,0))*1000</f>
        <v>12267</v>
      </c>
      <c r="Z3" s="73">
        <f>INDEX('From Fiscal forecasts'!$E:$L,MATCH('NZ SUPER'!$A3,'From Fiscal forecasts'!$B:$B,0),MATCH('NZ SUPER'!Z$1,'From Fiscal forecasts'!$E$7:$L$7,0))*1000</f>
        <v>13043</v>
      </c>
      <c r="AA3" s="73">
        <f>INDEX('From Fiscal forecasts'!$E:$L,MATCH('NZ SUPER'!$A3,'From Fiscal forecasts'!$B:$B,0),MATCH('NZ SUPER'!AA$1,'From Fiscal forecasts'!$E$7:$L$7,0))*1000</f>
        <v>13670</v>
      </c>
      <c r="AB3" s="73">
        <f>INDEX('From Fiscal forecasts'!$E:$L,MATCH('NZ SUPER'!$A3,'From Fiscal forecasts'!$B:$B,0),MATCH('NZ SUPER'!AB$1,'From Fiscal forecasts'!$E$7:$L$7,0))*1000</f>
        <v>14436</v>
      </c>
      <c r="AC3" s="73">
        <f>INDEX('From Fiscal forecasts'!$E:$L,MATCH('NZ SUPER'!$A3,'From Fiscal forecasts'!$B:$B,0),MATCH('NZ SUPER'!AC$1,'From Fiscal forecasts'!$E$7:$L$7,0))*1000</f>
        <v>15354</v>
      </c>
      <c r="AD3" s="73">
        <f>INDEX('From Fiscal forecasts'!$E:$L,MATCH('NZ SUPER'!$A3,'From Fiscal forecasts'!$B:$B,0),MATCH('NZ SUPER'!AD$1,'From Fiscal forecasts'!$E$7:$L$7,0))*1000</f>
        <v>16222.000000000002</v>
      </c>
      <c r="AE3" s="73">
        <f>INDEX('From Fiscal forecasts'!$E:$L,MATCH('NZ SUPER'!$A3,'From Fiscal forecasts'!$B:$B,0),MATCH('NZ SUPER'!AE$1,'From Fiscal forecasts'!$E$7:$L$7,0))*1000</f>
        <v>17223</v>
      </c>
    </row>
    <row r="4" spans="1:31" x14ac:dyDescent="0.25">
      <c r="A4" s="121" t="s">
        <v>119</v>
      </c>
      <c r="B4" s="121">
        <v>0.96398882070881731</v>
      </c>
      <c r="C4" s="121">
        <v>0.95986605464099295</v>
      </c>
      <c r="D4" s="121">
        <v>0.99619170881388541</v>
      </c>
      <c r="E4" s="121">
        <v>1.017191610111823</v>
      </c>
      <c r="F4" s="121">
        <v>1.0132720085809783</v>
      </c>
      <c r="G4" s="121">
        <v>1.0038305985594171</v>
      </c>
      <c r="H4" s="121"/>
      <c r="I4" s="121"/>
      <c r="J4" s="121"/>
      <c r="K4" s="121"/>
      <c r="L4" s="121"/>
      <c r="M4" s="121"/>
      <c r="N4" s="121"/>
      <c r="O4" s="121"/>
      <c r="P4" s="121"/>
      <c r="Q4" s="121"/>
      <c r="R4" s="121"/>
      <c r="S4" s="121"/>
      <c r="T4" s="121"/>
      <c r="U4" s="121"/>
      <c r="V4" s="121"/>
      <c r="W4" s="121"/>
      <c r="X4" s="122"/>
      <c r="Y4" s="122"/>
      <c r="Z4" s="123"/>
      <c r="AA4" s="123"/>
      <c r="AB4" s="123"/>
      <c r="AC4" s="123"/>
      <c r="AD4" s="123"/>
    </row>
    <row r="5" spans="1:31" x14ac:dyDescent="0.25">
      <c r="A5" s="121" t="s">
        <v>120</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G50"/>
  <sheetViews>
    <sheetView workbookViewId="0">
      <pane xSplit="1" topLeftCell="L1" activePane="topRight" state="frozen"/>
      <selection activeCell="T8" sqref="T8"/>
      <selection pane="topRight" activeCell="A15" sqref="A15"/>
    </sheetView>
  </sheetViews>
  <sheetFormatPr defaultRowHeight="15" x14ac:dyDescent="0.25"/>
  <cols>
    <col min="1" max="1" width="42.28515625" customWidth="1"/>
    <col min="6" max="8" width="10.5703125" customWidth="1"/>
    <col min="9" max="10" width="10.7109375" customWidth="1"/>
    <col min="11" max="25" width="10.5703125" customWidth="1"/>
    <col min="32" max="32" width="9.140625" style="164"/>
  </cols>
  <sheetData>
    <row r="2" spans="1:33" s="8" customFormat="1" x14ac:dyDescent="0.25">
      <c r="A2" s="191" t="s">
        <v>0</v>
      </c>
      <c r="B2" s="7" t="s">
        <v>1</v>
      </c>
      <c r="C2" s="4" t="s">
        <v>2</v>
      </c>
      <c r="D2" s="3" t="s">
        <v>3</v>
      </c>
      <c r="E2" s="4" t="s">
        <v>4</v>
      </c>
      <c r="F2" s="3" t="s">
        <v>5</v>
      </c>
      <c r="G2" s="4" t="s">
        <v>6</v>
      </c>
      <c r="H2" s="3" t="s">
        <v>7</v>
      </c>
      <c r="I2" s="4" t="s">
        <v>8</v>
      </c>
      <c r="J2" s="1" t="s">
        <v>9</v>
      </c>
      <c r="K2" s="6" t="s">
        <v>10</v>
      </c>
      <c r="L2" s="5" t="s">
        <v>11</v>
      </c>
      <c r="M2" s="4" t="s">
        <v>12</v>
      </c>
      <c r="N2" s="3" t="s">
        <v>13</v>
      </c>
      <c r="O2" s="4" t="s">
        <v>14</v>
      </c>
      <c r="P2" s="3" t="s">
        <v>15</v>
      </c>
      <c r="Q2" s="2" t="s">
        <v>16</v>
      </c>
      <c r="R2" s="1" t="s">
        <v>17</v>
      </c>
      <c r="S2" s="2" t="s">
        <v>18</v>
      </c>
      <c r="T2" s="1" t="s">
        <v>19</v>
      </c>
      <c r="U2" s="2" t="s">
        <v>20</v>
      </c>
      <c r="V2" s="1" t="s">
        <v>21</v>
      </c>
      <c r="W2" s="2">
        <v>2014</v>
      </c>
      <c r="X2" s="1" t="s">
        <v>22</v>
      </c>
      <c r="Y2" s="2" t="s">
        <v>23</v>
      </c>
    </row>
    <row r="3" spans="1:33" x14ac:dyDescent="0.25">
      <c r="A3" s="192"/>
      <c r="B3" s="13" t="s">
        <v>24</v>
      </c>
      <c r="C3" s="10" t="s">
        <v>24</v>
      </c>
      <c r="D3" s="9" t="s">
        <v>24</v>
      </c>
      <c r="E3" s="10" t="s">
        <v>24</v>
      </c>
      <c r="F3" s="9" t="s">
        <v>24</v>
      </c>
      <c r="G3" s="10" t="s">
        <v>24</v>
      </c>
      <c r="H3" s="9" t="s">
        <v>24</v>
      </c>
      <c r="I3" s="10" t="s">
        <v>24</v>
      </c>
      <c r="J3" s="9" t="s">
        <v>24</v>
      </c>
      <c r="K3" s="10" t="s">
        <v>24</v>
      </c>
      <c r="L3" s="9" t="s">
        <v>24</v>
      </c>
      <c r="M3" s="10" t="s">
        <v>24</v>
      </c>
      <c r="N3" s="9" t="s">
        <v>24</v>
      </c>
      <c r="O3" s="10" t="s">
        <v>24</v>
      </c>
      <c r="P3" s="9" t="s">
        <v>24</v>
      </c>
      <c r="Q3" s="12" t="s">
        <v>24</v>
      </c>
      <c r="R3" s="11" t="s">
        <v>24</v>
      </c>
      <c r="S3" s="12" t="s">
        <v>24</v>
      </c>
      <c r="T3" s="11" t="s">
        <v>24</v>
      </c>
      <c r="U3" s="12" t="s">
        <v>24</v>
      </c>
      <c r="V3" s="11" t="s">
        <v>24</v>
      </c>
      <c r="W3" s="12" t="s">
        <v>24</v>
      </c>
      <c r="X3" s="9" t="s">
        <v>24</v>
      </c>
      <c r="Y3" s="12" t="s">
        <v>24</v>
      </c>
      <c r="Z3" s="121"/>
      <c r="AA3" s="121"/>
      <c r="AB3" s="121"/>
      <c r="AC3" s="121"/>
      <c r="AD3" s="121"/>
      <c r="AE3" s="121"/>
    </row>
    <row r="4" spans="1:33" x14ac:dyDescent="0.25">
      <c r="A4" s="192"/>
      <c r="B4" s="13" t="s">
        <v>25</v>
      </c>
      <c r="C4" s="10" t="s">
        <v>25</v>
      </c>
      <c r="D4" s="9" t="s">
        <v>25</v>
      </c>
      <c r="E4" s="10" t="s">
        <v>25</v>
      </c>
      <c r="F4" s="9" t="s">
        <v>25</v>
      </c>
      <c r="G4" s="10" t="s">
        <v>25</v>
      </c>
      <c r="H4" s="9" t="s">
        <v>25</v>
      </c>
      <c r="I4" s="10" t="s">
        <v>25</v>
      </c>
      <c r="J4" s="9" t="s">
        <v>25</v>
      </c>
      <c r="K4" s="10" t="s">
        <v>25</v>
      </c>
      <c r="L4" s="9" t="s">
        <v>25</v>
      </c>
      <c r="M4" s="10" t="s">
        <v>25</v>
      </c>
      <c r="N4" s="9" t="s">
        <v>25</v>
      </c>
      <c r="O4" s="10" t="s">
        <v>25</v>
      </c>
      <c r="P4" s="9" t="s">
        <v>25</v>
      </c>
      <c r="Q4" s="10" t="s">
        <v>25</v>
      </c>
      <c r="R4" s="9" t="s">
        <v>25</v>
      </c>
      <c r="S4" s="10" t="s">
        <v>25</v>
      </c>
      <c r="T4" s="9" t="s">
        <v>25</v>
      </c>
      <c r="U4" s="10" t="s">
        <v>25</v>
      </c>
      <c r="V4" s="9" t="s">
        <v>25</v>
      </c>
      <c r="W4" s="10" t="s">
        <v>25</v>
      </c>
      <c r="X4" s="9" t="s">
        <v>25</v>
      </c>
      <c r="Y4" s="10" t="s">
        <v>25</v>
      </c>
      <c r="Z4" s="121"/>
      <c r="AA4" s="121"/>
      <c r="AB4" s="121"/>
      <c r="AC4" s="121"/>
      <c r="AD4" s="121"/>
      <c r="AE4" s="121"/>
    </row>
    <row r="5" spans="1:33" s="18" customFormat="1" ht="15.75" customHeight="1" x14ac:dyDescent="0.25">
      <c r="A5" s="14" t="s">
        <v>26</v>
      </c>
      <c r="B5" s="15">
        <f t="shared" ref="B5:W5" si="0">+C5-1</f>
        <v>1993</v>
      </c>
      <c r="C5" s="15">
        <f t="shared" si="0"/>
        <v>1994</v>
      </c>
      <c r="D5" s="15">
        <f t="shared" si="0"/>
        <v>1995</v>
      </c>
      <c r="E5" s="15">
        <f t="shared" si="0"/>
        <v>1996</v>
      </c>
      <c r="F5" s="15">
        <f t="shared" si="0"/>
        <v>1997</v>
      </c>
      <c r="G5" s="15">
        <f t="shared" si="0"/>
        <v>1998</v>
      </c>
      <c r="H5" s="15">
        <f t="shared" si="0"/>
        <v>1999</v>
      </c>
      <c r="I5" s="15">
        <f t="shared" si="0"/>
        <v>2000</v>
      </c>
      <c r="J5" s="15">
        <f t="shared" si="0"/>
        <v>2001</v>
      </c>
      <c r="K5" s="15">
        <f t="shared" si="0"/>
        <v>2002</v>
      </c>
      <c r="L5" s="15">
        <f t="shared" si="0"/>
        <v>2003</v>
      </c>
      <c r="M5" s="15">
        <f t="shared" si="0"/>
        <v>2004</v>
      </c>
      <c r="N5" s="15">
        <f t="shared" si="0"/>
        <v>2005</v>
      </c>
      <c r="O5" s="15">
        <f t="shared" si="0"/>
        <v>2006</v>
      </c>
      <c r="P5" s="15">
        <f t="shared" si="0"/>
        <v>2007</v>
      </c>
      <c r="Q5" s="15">
        <f t="shared" si="0"/>
        <v>2008</v>
      </c>
      <c r="R5" s="15">
        <f t="shared" si="0"/>
        <v>2009</v>
      </c>
      <c r="S5" s="15">
        <f t="shared" si="0"/>
        <v>2010</v>
      </c>
      <c r="T5" s="15">
        <f t="shared" si="0"/>
        <v>2011</v>
      </c>
      <c r="U5" s="15">
        <f t="shared" si="0"/>
        <v>2012</v>
      </c>
      <c r="V5" s="15">
        <f t="shared" si="0"/>
        <v>2013</v>
      </c>
      <c r="W5" s="15">
        <f t="shared" si="0"/>
        <v>2014</v>
      </c>
      <c r="X5" s="15">
        <f>+Y5-1</f>
        <v>2015</v>
      </c>
      <c r="Y5" s="16">
        <v>2016</v>
      </c>
      <c r="Z5" s="125">
        <v>2017</v>
      </c>
      <c r="AA5" s="125">
        <v>2018</v>
      </c>
      <c r="AB5" s="125">
        <v>2019</v>
      </c>
      <c r="AC5" s="125">
        <v>2020</v>
      </c>
      <c r="AD5" s="125">
        <v>2021</v>
      </c>
      <c r="AE5" s="173">
        <v>2022</v>
      </c>
      <c r="AF5" s="173"/>
    </row>
    <row r="6" spans="1:33" s="23" customFormat="1" x14ac:dyDescent="0.25">
      <c r="A6" s="19" t="s">
        <v>71</v>
      </c>
      <c r="B6" s="22">
        <v>1464</v>
      </c>
      <c r="C6" s="21">
        <v>1723</v>
      </c>
      <c r="D6" s="20">
        <v>1340</v>
      </c>
      <c r="E6" s="21">
        <v>1565</v>
      </c>
      <c r="F6" s="20">
        <v>1667</v>
      </c>
      <c r="G6" s="21">
        <v>1562</v>
      </c>
      <c r="H6" s="20">
        <v>1705</v>
      </c>
      <c r="I6" s="21">
        <v>1710</v>
      </c>
      <c r="J6" s="20">
        <v>1798</v>
      </c>
      <c r="K6" s="21">
        <v>1540</v>
      </c>
      <c r="L6" s="20">
        <v>2130</v>
      </c>
      <c r="M6" s="21">
        <v>2091</v>
      </c>
      <c r="N6" s="20">
        <v>2567</v>
      </c>
      <c r="O6" s="21">
        <v>2507</v>
      </c>
      <c r="P6" s="20">
        <v>4816</v>
      </c>
      <c r="Q6" s="21">
        <v>3371</v>
      </c>
      <c r="R6" s="20">
        <v>5293</v>
      </c>
      <c r="S6" s="21">
        <v>2974</v>
      </c>
      <c r="T6" s="20">
        <v>5563</v>
      </c>
      <c r="U6" s="21">
        <v>5428</v>
      </c>
      <c r="V6" s="20">
        <v>4294</v>
      </c>
      <c r="W6" s="21">
        <v>4502</v>
      </c>
      <c r="X6" s="20">
        <v>4134</v>
      </c>
      <c r="Y6" s="21">
        <f>INDEX(Allocations!$T$9:$AA$24,MATCH('Core Crown Expenditure 93-16'!$A6,Allocations!$S$9:$S$25,0),MATCH('Core Crown Expenditure 93-16'!Y$5,Allocations!$T$8:$AA$8,0))</f>
        <v>4102</v>
      </c>
      <c r="Z6" s="21">
        <f>INDEX(Allocations!$T$9:$AA$24,MATCH('Core Crown Expenditure 93-16'!$A6,Allocations!$S$9:$S$25,0),MATCH('Core Crown Expenditure 93-16'!Z$5,Allocations!$T$8:$AA$8,0))</f>
        <v>3957</v>
      </c>
      <c r="AA6" s="21">
        <f>INDEX(Allocations!$T$9:$AA$24,MATCH('Core Crown Expenditure 93-16'!$A6,Allocations!$S$9:$S$25,0),MATCH('Core Crown Expenditure 93-16'!AA$5,Allocations!$T$8:$AA$8,0))</f>
        <v>5358</v>
      </c>
      <c r="AB6" s="21">
        <f>INDEX(Allocations!$T$9:$AA$24,MATCH('Core Crown Expenditure 93-16'!$A6,Allocations!$S$9:$S$25,0),MATCH('Core Crown Expenditure 93-16'!AB$5,Allocations!$T$8:$AA$8,0))</f>
        <v>4924</v>
      </c>
      <c r="AC6" s="21">
        <f>INDEX(Allocations!$T$9:$AA$24,MATCH('Core Crown Expenditure 93-16'!$A6,Allocations!$S$9:$S$25,0),MATCH('Core Crown Expenditure 93-16'!AC$5,Allocations!$T$8:$AA$8,0))</f>
        <v>5049</v>
      </c>
      <c r="AD6" s="21">
        <f>INDEX(Allocations!$T$9:$AA$24,MATCH('Core Crown Expenditure 93-16'!$A6,Allocations!$S$9:$S$25,0),MATCH('Core Crown Expenditure 93-16'!AD$5,Allocations!$T$8:$AA$8,0))</f>
        <v>5014</v>
      </c>
      <c r="AE6" s="21">
        <f>INDEX(Allocations!$T$9:$AA$24,MATCH('Core Crown Expenditure 93-16'!$A6,Allocations!$S$9:$S$25,0),MATCH('Core Crown Expenditure 93-16'!AE$5,Allocations!$T$8:$AA$8,0))</f>
        <v>5167</v>
      </c>
      <c r="AF6" s="163"/>
      <c r="AG6" s="130">
        <f t="shared" ref="AG6:AG16" si="1">(AD6/Y6)^(1/(2021-2016))-1</f>
        <v>4.0968852064109607E-2</v>
      </c>
    </row>
    <row r="7" spans="1:33" s="28" customFormat="1" x14ac:dyDescent="0.25">
      <c r="A7" s="24" t="s">
        <v>27</v>
      </c>
      <c r="B7" s="27">
        <v>1173</v>
      </c>
      <c r="C7" s="26">
        <v>1049</v>
      </c>
      <c r="D7" s="25">
        <v>1013</v>
      </c>
      <c r="E7" s="26">
        <v>970</v>
      </c>
      <c r="F7" s="25">
        <v>946</v>
      </c>
      <c r="G7" s="26">
        <v>1065</v>
      </c>
      <c r="H7" s="25">
        <v>1030</v>
      </c>
      <c r="I7" s="26">
        <v>1247</v>
      </c>
      <c r="J7" s="25">
        <v>1242</v>
      </c>
      <c r="K7" s="26">
        <v>1162</v>
      </c>
      <c r="L7" s="25">
        <v>1199</v>
      </c>
      <c r="M7" s="26">
        <v>1311</v>
      </c>
      <c r="N7" s="25">
        <v>1275</v>
      </c>
      <c r="O7" s="26">
        <v>1383</v>
      </c>
      <c r="P7" s="25">
        <v>1517</v>
      </c>
      <c r="Q7" s="26">
        <v>1562</v>
      </c>
      <c r="R7" s="25">
        <v>1757</v>
      </c>
      <c r="S7" s="26">
        <v>1814</v>
      </c>
      <c r="T7" s="25">
        <v>1809</v>
      </c>
      <c r="U7" s="26">
        <v>1736</v>
      </c>
      <c r="V7" s="25">
        <v>1804</v>
      </c>
      <c r="W7" s="21">
        <v>1811</v>
      </c>
      <c r="X7" s="25">
        <v>1961</v>
      </c>
      <c r="Y7" s="21">
        <f>INDEX(Allocations!$T$9:$AA$24,MATCH('Core Crown Expenditure 93-16'!$A7,Allocations!$S$9:$S$25,0),MATCH('Core Crown Expenditure 93-16'!Y$5,Allocations!$T$8:$AA$8,0))</f>
        <v>2025.9999999999998</v>
      </c>
      <c r="Z7" s="21">
        <f>INDEX(Allocations!$T$9:$AA$24,MATCH('Core Crown Expenditure 93-16'!$A7,Allocations!$S$9:$S$25,0),MATCH('Core Crown Expenditure 93-16'!Z$5,Allocations!$T$8:$AA$8,0))</f>
        <v>2146</v>
      </c>
      <c r="AA7" s="21">
        <f>INDEX(Allocations!$T$9:$AA$24,MATCH('Core Crown Expenditure 93-16'!$A7,Allocations!$S$9:$S$25,0),MATCH('Core Crown Expenditure 93-16'!AA$5,Allocations!$T$8:$AA$8,0))</f>
        <v>2265</v>
      </c>
      <c r="AB7" s="21">
        <f>INDEX(Allocations!$T$9:$AA$24,MATCH('Core Crown Expenditure 93-16'!$A7,Allocations!$S$9:$S$25,0),MATCH('Core Crown Expenditure 93-16'!AB$5,Allocations!$T$8:$AA$8,0))</f>
        <v>2452</v>
      </c>
      <c r="AC7" s="21">
        <f>INDEX(Allocations!$T$9:$AA$24,MATCH('Core Crown Expenditure 93-16'!$A7,Allocations!$S$9:$S$25,0),MATCH('Core Crown Expenditure 93-16'!AC$5,Allocations!$T$8:$AA$8,0))</f>
        <v>2549</v>
      </c>
      <c r="AD7" s="21">
        <f>INDEX(Allocations!$T$9:$AA$24,MATCH('Core Crown Expenditure 93-16'!$A7,Allocations!$S$9:$S$25,0),MATCH('Core Crown Expenditure 93-16'!AD$5,Allocations!$T$8:$AA$8,0))</f>
        <v>2642</v>
      </c>
      <c r="AE7" s="21">
        <f>INDEX(Allocations!$T$9:$AA$24,MATCH('Core Crown Expenditure 93-16'!$A7,Allocations!$S$9:$S$25,0),MATCH('Core Crown Expenditure 93-16'!AE$5,Allocations!$T$8:$AA$8,0))</f>
        <v>2727</v>
      </c>
      <c r="AF7" s="163"/>
      <c r="AG7" s="130">
        <f t="shared" si="1"/>
        <v>5.4529356758600267E-2</v>
      </c>
    </row>
    <row r="8" spans="1:33" s="28" customFormat="1" x14ac:dyDescent="0.25">
      <c r="A8" s="24" t="s">
        <v>121</v>
      </c>
      <c r="B8" s="27">
        <v>744</v>
      </c>
      <c r="C8" s="26">
        <v>711</v>
      </c>
      <c r="D8" s="25">
        <v>673</v>
      </c>
      <c r="E8" s="26">
        <v>977</v>
      </c>
      <c r="F8" s="25">
        <v>763</v>
      </c>
      <c r="G8" s="26">
        <v>840</v>
      </c>
      <c r="H8" s="25">
        <v>858</v>
      </c>
      <c r="I8" s="26">
        <v>944</v>
      </c>
      <c r="J8" s="25">
        <v>1037</v>
      </c>
      <c r="K8" s="26">
        <v>1013</v>
      </c>
      <c r="L8" s="25">
        <v>1054</v>
      </c>
      <c r="M8" s="26">
        <v>1192</v>
      </c>
      <c r="N8" s="25">
        <v>1444</v>
      </c>
      <c r="O8" s="26">
        <v>1592</v>
      </c>
      <c r="P8" s="25">
        <v>1595</v>
      </c>
      <c r="Q8" s="26">
        <v>2889</v>
      </c>
      <c r="R8" s="25">
        <v>2960</v>
      </c>
      <c r="S8" s="26">
        <v>2806</v>
      </c>
      <c r="T8" s="25">
        <v>2542</v>
      </c>
      <c r="U8" s="26">
        <v>2073</v>
      </c>
      <c r="V8" s="25">
        <v>1978</v>
      </c>
      <c r="W8" s="21">
        <v>2058</v>
      </c>
      <c r="X8" s="25">
        <v>2228</v>
      </c>
      <c r="Y8" s="21">
        <f>INDEX(Allocations!$T$9:$AA$24,MATCH('Core Crown Expenditure 93-16'!$A8,Allocations!$S$9:$S$25,0),MATCH('Core Crown Expenditure 93-16'!Y$5,Allocations!$T$8:$AA$8,0))</f>
        <v>2107</v>
      </c>
      <c r="Z8" s="21">
        <f>INDEX(Allocations!$T$9:$AA$24,MATCH('Core Crown Expenditure 93-16'!$A8,Allocations!$S$9:$S$25,0),MATCH('Core Crown Expenditure 93-16'!Z$5,Allocations!$T$8:$AA$8,0))</f>
        <v>2544</v>
      </c>
      <c r="AA8" s="21">
        <f>INDEX(Allocations!$T$9:$AA$24,MATCH('Core Crown Expenditure 93-16'!$A8,Allocations!$S$9:$S$25,0),MATCH('Core Crown Expenditure 93-16'!AA$5,Allocations!$T$8:$AA$8,0))</f>
        <v>2882</v>
      </c>
      <c r="AB8" s="21">
        <f>INDEX(Allocations!$T$9:$AA$24,MATCH('Core Crown Expenditure 93-16'!$A8,Allocations!$S$9:$S$25,0),MATCH('Core Crown Expenditure 93-16'!AB$5,Allocations!$T$8:$AA$8,0))</f>
        <v>2916</v>
      </c>
      <c r="AC8" s="21">
        <f>INDEX(Allocations!$T$9:$AA$24,MATCH('Core Crown Expenditure 93-16'!$A8,Allocations!$S$9:$S$25,0),MATCH('Core Crown Expenditure 93-16'!AC$5,Allocations!$T$8:$AA$8,0))</f>
        <v>3000</v>
      </c>
      <c r="AD8" s="21">
        <f>INDEX(Allocations!$T$9:$AA$24,MATCH('Core Crown Expenditure 93-16'!$A8,Allocations!$S$9:$S$25,0),MATCH('Core Crown Expenditure 93-16'!AD$5,Allocations!$T$8:$AA$8,0))</f>
        <v>3077</v>
      </c>
      <c r="AE8" s="21">
        <f>INDEX(Allocations!$T$9:$AA$24,MATCH('Core Crown Expenditure 93-16'!$A8,Allocations!$S$9:$S$25,0),MATCH('Core Crown Expenditure 93-16'!AE$5,Allocations!$T$8:$AA$8,0))</f>
        <v>3105</v>
      </c>
      <c r="AF8" s="163"/>
      <c r="AG8" s="130">
        <f t="shared" si="1"/>
        <v>7.8679914689790298E-2</v>
      </c>
    </row>
    <row r="9" spans="1:33" s="28" customFormat="1" x14ac:dyDescent="0.25">
      <c r="A9" s="24" t="s">
        <v>28</v>
      </c>
      <c r="B9" s="27">
        <v>4539</v>
      </c>
      <c r="C9" s="26">
        <v>4627</v>
      </c>
      <c r="D9" s="25">
        <v>4803</v>
      </c>
      <c r="E9" s="26">
        <v>4949</v>
      </c>
      <c r="F9" s="25">
        <v>5335</v>
      </c>
      <c r="G9" s="26">
        <v>5714</v>
      </c>
      <c r="H9" s="25">
        <v>5899</v>
      </c>
      <c r="I9" s="26">
        <v>6310</v>
      </c>
      <c r="J9" s="25">
        <v>6136</v>
      </c>
      <c r="K9" s="26">
        <v>6473</v>
      </c>
      <c r="L9" s="25">
        <v>7016</v>
      </c>
      <c r="M9" s="26">
        <v>7585</v>
      </c>
      <c r="N9" s="25">
        <v>7930</v>
      </c>
      <c r="O9" s="26">
        <v>9914</v>
      </c>
      <c r="P9" s="25">
        <v>9269</v>
      </c>
      <c r="Q9" s="26">
        <v>9551</v>
      </c>
      <c r="R9" s="25">
        <v>11455</v>
      </c>
      <c r="S9" s="26">
        <v>11724</v>
      </c>
      <c r="T9" s="25">
        <v>11650</v>
      </c>
      <c r="U9" s="26">
        <v>11654</v>
      </c>
      <c r="V9" s="25">
        <v>12504</v>
      </c>
      <c r="W9" s="21">
        <v>12300</v>
      </c>
      <c r="X9" s="25">
        <v>12879</v>
      </c>
      <c r="Y9" s="21">
        <f>INDEX(Allocations!$T$9:$AA$24,MATCH('Core Crown Expenditure 93-16'!$A9,Allocations!$S$9:$S$25,0),MATCH('Core Crown Expenditure 93-16'!Y$5,Allocations!$T$8:$AA$8,0))</f>
        <v>13158</v>
      </c>
      <c r="Z9" s="21">
        <f>INDEX(Allocations!$T$9:$AA$24,MATCH('Core Crown Expenditure 93-16'!$A9,Allocations!$S$9:$S$25,0),MATCH('Core Crown Expenditure 93-16'!Z$5,Allocations!$T$8:$AA$8,0))</f>
        <v>13281</v>
      </c>
      <c r="AA9" s="21">
        <f>INDEX(Allocations!$T$9:$AA$24,MATCH('Core Crown Expenditure 93-16'!$A9,Allocations!$S$9:$S$25,0),MATCH('Core Crown Expenditure 93-16'!AA$5,Allocations!$T$8:$AA$8,0))</f>
        <v>14047</v>
      </c>
      <c r="AB9" s="21">
        <f>INDEX(Allocations!$T$9:$AA$24,MATCH('Core Crown Expenditure 93-16'!$A9,Allocations!$S$9:$S$25,0),MATCH('Core Crown Expenditure 93-16'!AB$5,Allocations!$T$8:$AA$8,0))</f>
        <v>15222</v>
      </c>
      <c r="AC9" s="21">
        <f>INDEX(Allocations!$T$9:$AA$24,MATCH('Core Crown Expenditure 93-16'!$A9,Allocations!$S$9:$S$25,0),MATCH('Core Crown Expenditure 93-16'!AC$5,Allocations!$T$8:$AA$8,0))</f>
        <v>15964</v>
      </c>
      <c r="AD9" s="21">
        <f>INDEX(Allocations!$T$9:$AA$24,MATCH('Core Crown Expenditure 93-16'!$A9,Allocations!$S$9:$S$25,0),MATCH('Core Crown Expenditure 93-16'!AD$5,Allocations!$T$8:$AA$8,0))</f>
        <v>16792</v>
      </c>
      <c r="AE9" s="21">
        <f>INDEX(Allocations!$T$9:$AA$24,MATCH('Core Crown Expenditure 93-16'!$A9,Allocations!$S$9:$S$25,0),MATCH('Core Crown Expenditure 93-16'!AE$5,Allocations!$T$8:$AA$8,0))</f>
        <v>17366</v>
      </c>
      <c r="AF9" s="163"/>
      <c r="AG9" s="130">
        <f t="shared" si="1"/>
        <v>4.9983582959890693E-2</v>
      </c>
    </row>
    <row r="10" spans="1:33" s="28" customFormat="1" x14ac:dyDescent="0.25">
      <c r="A10" s="24" t="s">
        <v>122</v>
      </c>
      <c r="B10" s="27"/>
      <c r="C10" s="26"/>
      <c r="D10" s="25"/>
      <c r="E10" s="26"/>
      <c r="F10" s="25"/>
      <c r="G10" s="26"/>
      <c r="H10" s="25"/>
      <c r="I10" s="26"/>
      <c r="J10" s="25"/>
      <c r="K10" s="26"/>
      <c r="L10" s="25"/>
      <c r="M10" s="26"/>
      <c r="N10" s="25"/>
      <c r="O10" s="26"/>
      <c r="P10" s="25"/>
      <c r="Q10" s="26">
        <v>546</v>
      </c>
      <c r="R10" s="25">
        <v>416</v>
      </c>
      <c r="S10" s="26">
        <v>651</v>
      </c>
      <c r="T10" s="25">
        <v>1225</v>
      </c>
      <c r="U10" s="26">
        <v>769</v>
      </c>
      <c r="V10" s="25">
        <v>530</v>
      </c>
      <c r="W10" s="21">
        <v>533</v>
      </c>
      <c r="X10" s="25">
        <v>723</v>
      </c>
      <c r="Y10" s="21">
        <f>INDEX(Allocations!$T$9:$AA$24,MATCH('Core Crown Expenditure 93-16'!$A10,Allocations!$S$9:$S$25,0),MATCH('Core Crown Expenditure 93-16'!Y$5,Allocations!$T$8:$AA$8,0))</f>
        <v>587</v>
      </c>
      <c r="Z10" s="21">
        <f>INDEX(Allocations!$T$9:$AA$24,MATCH('Core Crown Expenditure 93-16'!$A10,Allocations!$S$9:$S$25,0),MATCH('Core Crown Expenditure 93-16'!Z$5,Allocations!$T$8:$AA$8,0))</f>
        <v>871</v>
      </c>
      <c r="AA10" s="21">
        <f>INDEX(Allocations!$T$9:$AA$24,MATCH('Core Crown Expenditure 93-16'!$A10,Allocations!$S$9:$S$25,0),MATCH('Core Crown Expenditure 93-16'!AA$5,Allocations!$T$8:$AA$8,0))</f>
        <v>1273</v>
      </c>
      <c r="AB10" s="21">
        <f>INDEX(Allocations!$T$9:$AA$24,MATCH('Core Crown Expenditure 93-16'!$A10,Allocations!$S$9:$S$25,0),MATCH('Core Crown Expenditure 93-16'!AB$5,Allocations!$T$8:$AA$8,0))</f>
        <v>1019</v>
      </c>
      <c r="AC10" s="21">
        <f>INDEX(Allocations!$T$9:$AA$24,MATCH('Core Crown Expenditure 93-16'!$A10,Allocations!$S$9:$S$25,0),MATCH('Core Crown Expenditure 93-16'!AC$5,Allocations!$T$8:$AA$8,0))</f>
        <v>1081</v>
      </c>
      <c r="AD10" s="21">
        <f>INDEX(Allocations!$T$9:$AA$24,MATCH('Core Crown Expenditure 93-16'!$A10,Allocations!$S$9:$S$25,0),MATCH('Core Crown Expenditure 93-16'!AD$5,Allocations!$T$8:$AA$8,0))</f>
        <v>1129</v>
      </c>
      <c r="AE10" s="21">
        <f>INDEX(Allocations!$T$9:$AA$24,MATCH('Core Crown Expenditure 93-16'!$A10,Allocations!$S$9:$S$25,0),MATCH('Core Crown Expenditure 93-16'!AE$5,Allocations!$T$8:$AA$8,0))</f>
        <v>1156</v>
      </c>
      <c r="AF10" s="163"/>
      <c r="AG10" s="130">
        <f t="shared" si="1"/>
        <v>0.13975411308353869</v>
      </c>
    </row>
    <row r="11" spans="1:33" s="28" customFormat="1" x14ac:dyDescent="0.25">
      <c r="A11" s="24" t="s">
        <v>29</v>
      </c>
      <c r="B11" s="27">
        <v>3961</v>
      </c>
      <c r="C11" s="26">
        <v>3788</v>
      </c>
      <c r="D11" s="25">
        <v>3757</v>
      </c>
      <c r="E11" s="26">
        <v>3703</v>
      </c>
      <c r="F11" s="25">
        <v>3072</v>
      </c>
      <c r="G11" s="26">
        <v>2804</v>
      </c>
      <c r="H11" s="25">
        <v>2516</v>
      </c>
      <c r="I11" s="26">
        <v>2373</v>
      </c>
      <c r="J11" s="25">
        <v>2304</v>
      </c>
      <c r="K11" s="26">
        <v>2118</v>
      </c>
      <c r="L11" s="25">
        <v>2360</v>
      </c>
      <c r="M11" s="26">
        <v>2252</v>
      </c>
      <c r="N11" s="25">
        <v>2274</v>
      </c>
      <c r="O11" s="26">
        <v>2356</v>
      </c>
      <c r="P11" s="25">
        <v>2329</v>
      </c>
      <c r="Q11" s="26">
        <v>2460</v>
      </c>
      <c r="R11" s="25">
        <v>2429</v>
      </c>
      <c r="S11" s="26">
        <v>2311</v>
      </c>
      <c r="T11" s="25">
        <v>3066</v>
      </c>
      <c r="U11" s="26">
        <v>3511</v>
      </c>
      <c r="V11" s="25">
        <v>3619</v>
      </c>
      <c r="W11" s="21">
        <v>3620</v>
      </c>
      <c r="X11" s="25">
        <v>3783</v>
      </c>
      <c r="Y11" s="21">
        <f>INDEX(Allocations!$T$9:$AA$24,MATCH('Core Crown Expenditure 93-16'!$A11,Allocations!$S$9:$S$25,0),MATCH('Core Crown Expenditure 93-16'!Y$5,Allocations!$T$8:$AA$8,0))</f>
        <v>3590</v>
      </c>
      <c r="Z11" s="21">
        <f>INDEX(Allocations!$T$9:$AA$24,MATCH('Core Crown Expenditure 93-16'!$A11,Allocations!$S$9:$S$25,0),MATCH('Core Crown Expenditure 93-16'!Z$5,Allocations!$T$8:$AA$8,0))</f>
        <v>3534</v>
      </c>
      <c r="AA11" s="21">
        <f>INDEX(Allocations!$T$9:$AA$24,MATCH('Core Crown Expenditure 93-16'!$A11,Allocations!$S$9:$S$25,0),MATCH('Core Crown Expenditure 93-16'!AA$5,Allocations!$T$8:$AA$8,0))</f>
        <v>3513</v>
      </c>
      <c r="AB11" s="21">
        <f>INDEX(Allocations!$T$9:$AA$24,MATCH('Core Crown Expenditure 93-16'!$A11,Allocations!$S$9:$S$25,0),MATCH('Core Crown Expenditure 93-16'!AB$5,Allocations!$T$8:$AA$8,0))</f>
        <v>3460</v>
      </c>
      <c r="AC11" s="21">
        <f>INDEX(Allocations!$T$9:$AA$24,MATCH('Core Crown Expenditure 93-16'!$A11,Allocations!$S$9:$S$25,0),MATCH('Core Crown Expenditure 93-16'!AC$5,Allocations!$T$8:$AA$8,0))</f>
        <v>3452</v>
      </c>
      <c r="AD11" s="21">
        <f>INDEX(Allocations!$T$9:$AA$24,MATCH('Core Crown Expenditure 93-16'!$A11,Allocations!$S$9:$S$25,0),MATCH('Core Crown Expenditure 93-16'!AD$5,Allocations!$T$8:$AA$8,0))</f>
        <v>3508</v>
      </c>
      <c r="AE11" s="21">
        <f>INDEX(Allocations!$T$9:$AA$24,MATCH('Core Crown Expenditure 93-16'!$A11,Allocations!$S$9:$S$25,0),MATCH('Core Crown Expenditure 93-16'!AE$5,Allocations!$T$8:$AA$8,0))</f>
        <v>3304</v>
      </c>
      <c r="AF11" s="163"/>
      <c r="AG11" s="130">
        <f t="shared" si="1"/>
        <v>-4.6105641643221507E-3</v>
      </c>
    </row>
    <row r="12" spans="1:33" s="28" customFormat="1" x14ac:dyDescent="0.25">
      <c r="A12" s="24" t="s">
        <v>123</v>
      </c>
      <c r="B12" s="27" t="s">
        <v>124</v>
      </c>
      <c r="C12" s="26" t="s">
        <v>124</v>
      </c>
      <c r="D12" s="25" t="s">
        <v>124</v>
      </c>
      <c r="E12" s="26" t="s">
        <v>124</v>
      </c>
      <c r="F12" s="25" t="s">
        <v>124</v>
      </c>
      <c r="G12" s="26">
        <v>494</v>
      </c>
      <c r="H12" s="25">
        <v>1132</v>
      </c>
      <c r="I12" s="26">
        <v>478</v>
      </c>
      <c r="J12" s="25">
        <v>1112</v>
      </c>
      <c r="K12" s="26">
        <v>1409</v>
      </c>
      <c r="L12" s="25">
        <v>541</v>
      </c>
      <c r="M12" s="26">
        <v>591</v>
      </c>
      <c r="N12" s="25">
        <v>718</v>
      </c>
      <c r="O12" s="26">
        <v>761</v>
      </c>
      <c r="P12" s="25">
        <v>645</v>
      </c>
      <c r="Q12" s="26">
        <v>690</v>
      </c>
      <c r="R12" s="25">
        <v>655</v>
      </c>
      <c r="S12" s="26">
        <v>328</v>
      </c>
      <c r="T12" s="25">
        <v>305</v>
      </c>
      <c r="U12" s="26">
        <v>192</v>
      </c>
      <c r="V12" s="25">
        <v>278</v>
      </c>
      <c r="W12" s="21">
        <v>282</v>
      </c>
      <c r="X12" s="25">
        <v>358</v>
      </c>
      <c r="Y12" s="21">
        <f>INDEX(Allocations!$T$9:$AA$24,MATCH('Core Crown Expenditure 93-16'!$A12,Allocations!$S$9:$S$25,0),MATCH('Core Crown Expenditure 93-16'!Y$5,Allocations!$T$8:$AA$8,0))</f>
        <v>271</v>
      </c>
      <c r="Z12" s="21">
        <f>INDEX(Allocations!$T$9:$AA$24,MATCH('Core Crown Expenditure 93-16'!$A12,Allocations!$S$9:$S$25,0),MATCH('Core Crown Expenditure 93-16'!Z$5,Allocations!$T$8:$AA$8,0))</f>
        <v>217</v>
      </c>
      <c r="AA12" s="21">
        <f>INDEX(Allocations!$T$9:$AA$24,MATCH('Core Crown Expenditure 93-16'!$A12,Allocations!$S$9:$S$25,0),MATCH('Core Crown Expenditure 93-16'!AA$5,Allocations!$T$8:$AA$8,0))</f>
        <v>150</v>
      </c>
      <c r="AB12" s="21">
        <f>INDEX(Allocations!$T$9:$AA$24,MATCH('Core Crown Expenditure 93-16'!$A12,Allocations!$S$9:$S$25,0),MATCH('Core Crown Expenditure 93-16'!AB$5,Allocations!$T$8:$AA$8,0))</f>
        <v>149</v>
      </c>
      <c r="AC12" s="21">
        <f>INDEX(Allocations!$T$9:$AA$24,MATCH('Core Crown Expenditure 93-16'!$A12,Allocations!$S$9:$S$25,0),MATCH('Core Crown Expenditure 93-16'!AC$5,Allocations!$T$8:$AA$8,0))</f>
        <v>179</v>
      </c>
      <c r="AD12" s="21">
        <f>INDEX(Allocations!$T$9:$AA$24,MATCH('Core Crown Expenditure 93-16'!$A12,Allocations!$S$9:$S$25,0),MATCH('Core Crown Expenditure 93-16'!AD$5,Allocations!$T$8:$AA$8,0))</f>
        <v>211</v>
      </c>
      <c r="AE12" s="21">
        <f>INDEX(Allocations!$T$9:$AA$24,MATCH('Core Crown Expenditure 93-16'!$A12,Allocations!$S$9:$S$25,0),MATCH('Core Crown Expenditure 93-16'!AE$5,Allocations!$T$8:$AA$8,0))</f>
        <v>234</v>
      </c>
      <c r="AF12" s="163"/>
      <c r="AG12" s="130">
        <f t="shared" si="1"/>
        <v>-4.8820168912223738E-2</v>
      </c>
    </row>
    <row r="13" spans="1:33" s="28" customFormat="1" x14ac:dyDescent="0.25">
      <c r="A13" s="24" t="s">
        <v>30</v>
      </c>
      <c r="B13" s="27">
        <v>4168</v>
      </c>
      <c r="C13" s="26">
        <v>4602</v>
      </c>
      <c r="D13" s="25">
        <v>4886</v>
      </c>
      <c r="E13" s="26">
        <v>5228</v>
      </c>
      <c r="F13" s="25">
        <v>5626</v>
      </c>
      <c r="G13" s="26">
        <v>6001</v>
      </c>
      <c r="H13" s="25">
        <v>6573</v>
      </c>
      <c r="I13" s="26">
        <v>6874</v>
      </c>
      <c r="J13" s="25">
        <v>6660</v>
      </c>
      <c r="K13" s="26">
        <v>7032</v>
      </c>
      <c r="L13" s="25">
        <v>7501</v>
      </c>
      <c r="M13" s="26">
        <v>8111</v>
      </c>
      <c r="N13" s="25">
        <v>8813</v>
      </c>
      <c r="O13" s="26">
        <v>9547</v>
      </c>
      <c r="P13" s="25">
        <v>10355</v>
      </c>
      <c r="Q13" s="26">
        <v>11297</v>
      </c>
      <c r="R13" s="25">
        <v>12368</v>
      </c>
      <c r="S13" s="26">
        <v>13128</v>
      </c>
      <c r="T13" s="25">
        <v>13753</v>
      </c>
      <c r="U13" s="26">
        <v>14160</v>
      </c>
      <c r="V13" s="25">
        <v>14498</v>
      </c>
      <c r="W13" s="21">
        <v>14898</v>
      </c>
      <c r="X13" s="25">
        <v>15058</v>
      </c>
      <c r="Y13" s="21">
        <f>INDEX(Allocations!$T$9:$AA$24,MATCH('Core Crown Expenditure 93-16'!$A13,Allocations!$S$9:$S$25,0),MATCH('Core Crown Expenditure 93-16'!Y$5,Allocations!$T$8:$AA$8,0))</f>
        <v>15626</v>
      </c>
      <c r="Z13" s="21">
        <f>INDEX(Allocations!$T$9:$AA$24,MATCH('Core Crown Expenditure 93-16'!$A13,Allocations!$S$9:$S$25,0),MATCH('Core Crown Expenditure 93-16'!Z$5,Allocations!$T$8:$AA$8,0))</f>
        <v>16222.999999999998</v>
      </c>
      <c r="AA13" s="21">
        <f>INDEX(Allocations!$T$9:$AA$24,MATCH('Core Crown Expenditure 93-16'!$A13,Allocations!$S$9:$S$25,0),MATCH('Core Crown Expenditure 93-16'!AA$5,Allocations!$T$8:$AA$8,0))</f>
        <v>16776</v>
      </c>
      <c r="AB13" s="21">
        <f>INDEX(Allocations!$T$9:$AA$24,MATCH('Core Crown Expenditure 93-16'!$A13,Allocations!$S$9:$S$25,0),MATCH('Core Crown Expenditure 93-16'!AB$5,Allocations!$T$8:$AA$8,0))</f>
        <v>17929</v>
      </c>
      <c r="AC13" s="21">
        <f>INDEX(Allocations!$T$9:$AA$24,MATCH('Core Crown Expenditure 93-16'!$A13,Allocations!$S$9:$S$25,0),MATCH('Core Crown Expenditure 93-16'!AC$5,Allocations!$T$8:$AA$8,0))</f>
        <v>18610</v>
      </c>
      <c r="AD13" s="21">
        <f>INDEX(Allocations!$T$9:$AA$24,MATCH('Core Crown Expenditure 93-16'!$A13,Allocations!$S$9:$S$25,0),MATCH('Core Crown Expenditure 93-16'!AD$5,Allocations!$T$8:$AA$8,0))</f>
        <v>19204</v>
      </c>
      <c r="AE13" s="21">
        <f>INDEX(Allocations!$T$9:$AA$24,MATCH('Core Crown Expenditure 93-16'!$A13,Allocations!$S$9:$S$25,0),MATCH('Core Crown Expenditure 93-16'!AE$5,Allocations!$T$8:$AA$8,0))</f>
        <v>19924</v>
      </c>
      <c r="AF13" s="163"/>
      <c r="AG13" s="130">
        <f t="shared" si="1"/>
        <v>4.2098511259695659E-2</v>
      </c>
    </row>
    <row r="14" spans="1:33" s="28" customFormat="1" x14ac:dyDescent="0.25">
      <c r="A14" s="24" t="s">
        <v>125</v>
      </c>
      <c r="B14" s="27">
        <v>310</v>
      </c>
      <c r="C14" s="26">
        <v>241</v>
      </c>
      <c r="D14" s="25">
        <v>233</v>
      </c>
      <c r="E14" s="26">
        <v>247</v>
      </c>
      <c r="F14" s="25">
        <v>277</v>
      </c>
      <c r="G14" s="26">
        <v>297</v>
      </c>
      <c r="H14" s="25">
        <v>316</v>
      </c>
      <c r="I14" s="26">
        <v>456</v>
      </c>
      <c r="J14" s="25">
        <v>400</v>
      </c>
      <c r="K14" s="26">
        <v>434</v>
      </c>
      <c r="L14" s="25">
        <v>515</v>
      </c>
      <c r="M14" s="26">
        <v>634</v>
      </c>
      <c r="N14" s="25">
        <v>991</v>
      </c>
      <c r="O14" s="26">
        <v>891</v>
      </c>
      <c r="P14" s="25">
        <v>844</v>
      </c>
      <c r="Q14" s="26">
        <v>561</v>
      </c>
      <c r="R14" s="25">
        <v>586</v>
      </c>
      <c r="S14" s="26">
        <v>630</v>
      </c>
      <c r="T14" s="25">
        <v>741</v>
      </c>
      <c r="U14" s="26">
        <v>863</v>
      </c>
      <c r="V14" s="25">
        <v>804</v>
      </c>
      <c r="W14" s="21">
        <v>842</v>
      </c>
      <c r="X14" s="25">
        <v>778</v>
      </c>
      <c r="Y14" s="21">
        <f>INDEX(Allocations!$T$9:$AA$24,MATCH('Core Crown Expenditure 93-16'!$A14,Allocations!$S$9:$S$25,0),MATCH('Core Crown Expenditure 93-16'!Y$5,Allocations!$T$8:$AA$8,0))</f>
        <v>787</v>
      </c>
      <c r="Z14" s="21">
        <f>INDEX(Allocations!$T$9:$AA$24,MATCH('Core Crown Expenditure 93-16'!$A14,Allocations!$S$9:$S$25,0),MATCH('Core Crown Expenditure 93-16'!Z$5,Allocations!$T$8:$AA$8,0))</f>
        <v>850</v>
      </c>
      <c r="AA14" s="21">
        <f>INDEX(Allocations!$T$9:$AA$24,MATCH('Core Crown Expenditure 93-16'!$A14,Allocations!$S$9:$S$25,0),MATCH('Core Crown Expenditure 93-16'!AA$5,Allocations!$T$8:$AA$8,0))</f>
        <v>855</v>
      </c>
      <c r="AB14" s="21">
        <f>INDEX(Allocations!$T$9:$AA$24,MATCH('Core Crown Expenditure 93-16'!$A14,Allocations!$S$9:$S$25,0),MATCH('Core Crown Expenditure 93-16'!AB$5,Allocations!$T$8:$AA$8,0))</f>
        <v>919</v>
      </c>
      <c r="AC14" s="21">
        <f>INDEX(Allocations!$T$9:$AA$24,MATCH('Core Crown Expenditure 93-16'!$A14,Allocations!$S$9:$S$25,0),MATCH('Core Crown Expenditure 93-16'!AC$5,Allocations!$T$8:$AA$8,0))</f>
        <v>918</v>
      </c>
      <c r="AD14" s="21">
        <f>INDEX(Allocations!$T$9:$AA$24,MATCH('Core Crown Expenditure 93-16'!$A14,Allocations!$S$9:$S$25,0),MATCH('Core Crown Expenditure 93-16'!AD$5,Allocations!$T$8:$AA$8,0))</f>
        <v>926</v>
      </c>
      <c r="AE14" s="21">
        <f>INDEX(Allocations!$T$9:$AA$24,MATCH('Core Crown Expenditure 93-16'!$A14,Allocations!$S$9:$S$25,0),MATCH('Core Crown Expenditure 93-16'!AE$5,Allocations!$T$8:$AA$8,0))</f>
        <v>974</v>
      </c>
      <c r="AF14" s="163"/>
      <c r="AG14" s="130">
        <f t="shared" si="1"/>
        <v>3.3064055328748454E-2</v>
      </c>
    </row>
    <row r="15" spans="1:33" s="28" customFormat="1" x14ac:dyDescent="0.25">
      <c r="A15" s="24" t="s">
        <v>126</v>
      </c>
      <c r="B15" s="27">
        <v>260</v>
      </c>
      <c r="C15" s="26">
        <v>39</v>
      </c>
      <c r="D15" s="25">
        <v>46</v>
      </c>
      <c r="E15" s="26">
        <v>40</v>
      </c>
      <c r="F15" s="25">
        <v>47</v>
      </c>
      <c r="G15" s="26">
        <v>29</v>
      </c>
      <c r="H15" s="25">
        <v>41</v>
      </c>
      <c r="I15" s="26">
        <v>68</v>
      </c>
      <c r="J15" s="25">
        <v>50</v>
      </c>
      <c r="K15" s="26">
        <v>93</v>
      </c>
      <c r="L15" s="25">
        <v>102</v>
      </c>
      <c r="M15" s="26">
        <v>139</v>
      </c>
      <c r="N15" s="25">
        <v>163</v>
      </c>
      <c r="O15" s="26">
        <v>202</v>
      </c>
      <c r="P15" s="25">
        <v>255</v>
      </c>
      <c r="Q15" s="26">
        <v>260</v>
      </c>
      <c r="R15" s="25">
        <v>297</v>
      </c>
      <c r="S15" s="26">
        <v>339</v>
      </c>
      <c r="T15" s="25">
        <v>943</v>
      </c>
      <c r="U15" s="26">
        <v>-46</v>
      </c>
      <c r="V15" s="25">
        <v>283</v>
      </c>
      <c r="W15" s="21">
        <v>347</v>
      </c>
      <c r="X15" s="25">
        <v>320</v>
      </c>
      <c r="Y15" s="21">
        <f>INDEX(Allocations!$T$9:$AA$24,MATCH('Core Crown Expenditure 93-16'!$A15,Allocations!$S$9:$S$25,0),MATCH('Core Crown Expenditure 93-16'!Y$5,Allocations!$T$8:$AA$8,0))</f>
        <v>558</v>
      </c>
      <c r="Z15" s="21">
        <f>INDEX(Allocations!$T$9:$AA$24,MATCH('Core Crown Expenditure 93-16'!$A15,Allocations!$S$9:$S$25,0),MATCH('Core Crown Expenditure 93-16'!Z$5,Allocations!$T$8:$AA$8,0))</f>
        <v>539</v>
      </c>
      <c r="AA15" s="21">
        <f>INDEX(Allocations!$T$9:$AA$24,MATCH('Core Crown Expenditure 93-16'!$A15,Allocations!$S$9:$S$25,0),MATCH('Core Crown Expenditure 93-16'!AA$5,Allocations!$T$8:$AA$8,0))</f>
        <v>650</v>
      </c>
      <c r="AB15" s="21">
        <f>INDEX(Allocations!$T$9:$AA$24,MATCH('Core Crown Expenditure 93-16'!$A15,Allocations!$S$9:$S$25,0),MATCH('Core Crown Expenditure 93-16'!AB$5,Allocations!$T$8:$AA$8,0))</f>
        <v>642</v>
      </c>
      <c r="AC15" s="21">
        <f>INDEX(Allocations!$T$9:$AA$24,MATCH('Core Crown Expenditure 93-16'!$A15,Allocations!$S$9:$S$25,0),MATCH('Core Crown Expenditure 93-16'!AC$5,Allocations!$T$8:$AA$8,0))</f>
        <v>587</v>
      </c>
      <c r="AD15" s="21">
        <f>INDEX(Allocations!$T$9:$AA$24,MATCH('Core Crown Expenditure 93-16'!$A15,Allocations!$S$9:$S$25,0),MATCH('Core Crown Expenditure 93-16'!AD$5,Allocations!$T$8:$AA$8,0))</f>
        <v>573</v>
      </c>
      <c r="AE15" s="21">
        <f>INDEX(Allocations!$T$9:$AA$24,MATCH('Core Crown Expenditure 93-16'!$A15,Allocations!$S$9:$S$25,0),MATCH('Core Crown Expenditure 93-16'!AE$5,Allocations!$T$8:$AA$8,0))</f>
        <v>586</v>
      </c>
      <c r="AF15" s="163"/>
      <c r="AG15" s="130">
        <f t="shared" si="1"/>
        <v>5.3194491617021278E-3</v>
      </c>
    </row>
    <row r="16" spans="1:33" s="28" customFormat="1" x14ac:dyDescent="0.25">
      <c r="A16" s="24" t="s">
        <v>31</v>
      </c>
      <c r="B16" s="27">
        <v>1054</v>
      </c>
      <c r="C16" s="26">
        <v>1150</v>
      </c>
      <c r="D16" s="25">
        <v>1190</v>
      </c>
      <c r="E16" s="26">
        <v>1234</v>
      </c>
      <c r="F16" s="25">
        <v>1281</v>
      </c>
      <c r="G16" s="26">
        <v>1345</v>
      </c>
      <c r="H16" s="25">
        <v>1499</v>
      </c>
      <c r="I16" s="26">
        <v>1531</v>
      </c>
      <c r="J16" s="25">
        <v>1541</v>
      </c>
      <c r="K16" s="26">
        <v>1733</v>
      </c>
      <c r="L16" s="25">
        <v>1734</v>
      </c>
      <c r="M16" s="26">
        <v>1843</v>
      </c>
      <c r="N16" s="25">
        <v>1977</v>
      </c>
      <c r="O16" s="26">
        <v>2235</v>
      </c>
      <c r="P16" s="25">
        <v>2699</v>
      </c>
      <c r="Q16" s="26">
        <v>2894</v>
      </c>
      <c r="R16" s="25">
        <v>3089</v>
      </c>
      <c r="S16" s="26">
        <v>3191</v>
      </c>
      <c r="T16" s="25">
        <v>3382</v>
      </c>
      <c r="U16" s="26">
        <v>3403</v>
      </c>
      <c r="V16" s="25">
        <v>3456</v>
      </c>
      <c r="W16" s="21">
        <v>3501</v>
      </c>
      <c r="X16" s="25">
        <v>3515</v>
      </c>
      <c r="Y16" s="21">
        <f>INDEX(Allocations!$T$9:$AA$24,MATCH('Core Crown Expenditure 93-16'!$A16,Allocations!$S$9:$S$25,0),MATCH('Core Crown Expenditure 93-16'!Y$5,Allocations!$T$8:$AA$8,0))</f>
        <v>3648</v>
      </c>
      <c r="Z16" s="21">
        <f>INDEX(Allocations!$T$9:$AA$24,MATCH('Core Crown Expenditure 93-16'!$A16,Allocations!$S$9:$S$25,0),MATCH('Core Crown Expenditure 93-16'!Z$5,Allocations!$T$8:$AA$8,0))</f>
        <v>3882</v>
      </c>
      <c r="AA16" s="21">
        <f>INDEX(Allocations!$T$9:$AA$24,MATCH('Core Crown Expenditure 93-16'!$A16,Allocations!$S$9:$S$25,0),MATCH('Core Crown Expenditure 93-16'!AA$5,Allocations!$T$8:$AA$8,0))</f>
        <v>4051</v>
      </c>
      <c r="AB16" s="21">
        <f>INDEX(Allocations!$T$9:$AA$24,MATCH('Core Crown Expenditure 93-16'!$A16,Allocations!$S$9:$S$25,0),MATCH('Core Crown Expenditure 93-16'!AB$5,Allocations!$T$8:$AA$8,0))</f>
        <v>4328</v>
      </c>
      <c r="AC16" s="21">
        <f>INDEX(Allocations!$T$9:$AA$24,MATCH('Core Crown Expenditure 93-16'!$A16,Allocations!$S$9:$S$25,0),MATCH('Core Crown Expenditure 93-16'!AC$5,Allocations!$T$8:$AA$8,0))</f>
        <v>4522</v>
      </c>
      <c r="AD16" s="21">
        <f>INDEX(Allocations!$T$9:$AA$24,MATCH('Core Crown Expenditure 93-16'!$A16,Allocations!$S$9:$S$25,0),MATCH('Core Crown Expenditure 93-16'!AD$5,Allocations!$T$8:$AA$8,0))</f>
        <v>4705</v>
      </c>
      <c r="AE16" s="21">
        <f>INDEX(Allocations!$T$9:$AA$24,MATCH('Core Crown Expenditure 93-16'!$A16,Allocations!$S$9:$S$25,0),MATCH('Core Crown Expenditure 93-16'!AE$5,Allocations!$T$8:$AA$8,0))</f>
        <v>4866</v>
      </c>
      <c r="AF16" s="163"/>
      <c r="AG16" s="130">
        <f t="shared" si="1"/>
        <v>5.2206449848445136E-2</v>
      </c>
    </row>
    <row r="17" spans="1:33" s="28" customFormat="1" x14ac:dyDescent="0.25">
      <c r="A17" s="24" t="s">
        <v>127</v>
      </c>
      <c r="B17" s="31">
        <v>296</v>
      </c>
      <c r="C17" s="30">
        <v>-898</v>
      </c>
      <c r="D17" s="29">
        <v>-551</v>
      </c>
      <c r="E17" s="30">
        <v>-603</v>
      </c>
      <c r="F17" s="29">
        <v>12</v>
      </c>
      <c r="G17" s="30">
        <v>13</v>
      </c>
      <c r="H17" s="29">
        <v>-47</v>
      </c>
      <c r="I17" s="30">
        <v>-62</v>
      </c>
      <c r="J17" s="29">
        <v>-47</v>
      </c>
      <c r="K17" s="26">
        <v>75</v>
      </c>
      <c r="L17" s="25" t="s">
        <v>128</v>
      </c>
      <c r="M17" s="26"/>
      <c r="N17" s="25"/>
      <c r="O17" s="26"/>
      <c r="P17" s="25"/>
      <c r="Q17" s="26"/>
      <c r="R17" s="25"/>
      <c r="S17" s="26"/>
      <c r="T17" s="25"/>
      <c r="U17" s="26"/>
      <c r="V17" s="25"/>
      <c r="W17" s="21"/>
      <c r="X17" s="25"/>
      <c r="Y17" s="21">
        <f>INDEX(Allocations!$T$9:$AA$24,MATCH('Core Crown Expenditure 93-16'!$A17,Allocations!$S$9:$S$25,0),MATCH('Core Crown Expenditure 93-16'!Y$5,Allocations!$T$8:$AA$8,0))</f>
        <v>0</v>
      </c>
      <c r="Z17" s="21">
        <f>INDEX(Allocations!$T$9:$AA$24,MATCH('Core Crown Expenditure 93-16'!$A17,Allocations!$S$9:$S$25,0),MATCH('Core Crown Expenditure 93-16'!Z$5,Allocations!$T$8:$AA$8,0))</f>
        <v>0</v>
      </c>
      <c r="AA17" s="21">
        <f>INDEX(Allocations!$T$9:$AA$24,MATCH('Core Crown Expenditure 93-16'!$A17,Allocations!$S$9:$S$25,0),MATCH('Core Crown Expenditure 93-16'!AA$5,Allocations!$T$8:$AA$8,0))</f>
        <v>0</v>
      </c>
      <c r="AB17" s="21">
        <f>INDEX(Allocations!$T$9:$AA$24,MATCH('Core Crown Expenditure 93-16'!$A17,Allocations!$S$9:$S$25,0),MATCH('Core Crown Expenditure 93-16'!AB$5,Allocations!$T$8:$AA$8,0))</f>
        <v>0</v>
      </c>
      <c r="AC17" s="21">
        <f>INDEX(Allocations!$T$9:$AA$24,MATCH('Core Crown Expenditure 93-16'!$A17,Allocations!$S$9:$S$25,0),MATCH('Core Crown Expenditure 93-16'!AC$5,Allocations!$T$8:$AA$8,0))</f>
        <v>0</v>
      </c>
      <c r="AD17" s="21">
        <f>INDEX(Allocations!$T$9:$AA$24,MATCH('Core Crown Expenditure 93-16'!$A17,Allocations!$S$9:$S$25,0),MATCH('Core Crown Expenditure 93-16'!AD$5,Allocations!$T$8:$AA$8,0))</f>
        <v>0</v>
      </c>
      <c r="AE17" s="21">
        <f>INDEX(Allocations!$T$9:$AA$24,MATCH('Core Crown Expenditure 93-16'!$A17,Allocations!$S$9:$S$25,0),MATCH('Core Crown Expenditure 93-16'!AE$5,Allocations!$T$8:$AA$8,0))</f>
        <v>0</v>
      </c>
      <c r="AF17" s="163"/>
    </row>
    <row r="18" spans="1:33" s="28" customFormat="1" x14ac:dyDescent="0.25">
      <c r="A18" s="24" t="s">
        <v>129</v>
      </c>
      <c r="B18" s="27">
        <v>236</v>
      </c>
      <c r="C18" s="26">
        <v>14</v>
      </c>
      <c r="D18" s="25">
        <v>181</v>
      </c>
      <c r="E18" s="26">
        <v>48</v>
      </c>
      <c r="F18" s="25">
        <v>68</v>
      </c>
      <c r="G18" s="26">
        <v>167</v>
      </c>
      <c r="H18" s="25">
        <v>34</v>
      </c>
      <c r="I18" s="26">
        <v>45</v>
      </c>
      <c r="J18" s="25">
        <v>75</v>
      </c>
      <c r="K18" s="26">
        <v>110</v>
      </c>
      <c r="L18" s="25">
        <v>75</v>
      </c>
      <c r="M18" s="26">
        <v>52</v>
      </c>
      <c r="N18" s="25">
        <v>32</v>
      </c>
      <c r="O18" s="26">
        <v>49</v>
      </c>
      <c r="P18" s="25">
        <v>68</v>
      </c>
      <c r="Q18" s="26">
        <v>254</v>
      </c>
      <c r="R18" s="25">
        <v>118</v>
      </c>
      <c r="S18" s="26">
        <v>80</v>
      </c>
      <c r="T18" s="25">
        <v>479</v>
      </c>
      <c r="U18" s="26">
        <v>425</v>
      </c>
      <c r="V18" s="25">
        <v>603</v>
      </c>
      <c r="W18" s="21">
        <v>579</v>
      </c>
      <c r="X18" s="25">
        <v>145</v>
      </c>
      <c r="Y18" s="21">
        <f>INDEX(Allocations!$T$9:$AA$24,MATCH('Core Crown Expenditure 93-16'!$A18,Allocations!$S$9:$S$25,0),MATCH('Core Crown Expenditure 93-16'!Y$5,Allocations!$T$8:$AA$8,0))</f>
        <v>461</v>
      </c>
      <c r="Z18" s="21">
        <f>INDEX(Allocations!$T$9:$AA$24,MATCH('Core Crown Expenditure 93-16'!$A18,Allocations!$S$9:$S$25,0),MATCH('Core Crown Expenditure 93-16'!Z$5,Allocations!$T$8:$AA$8,0))</f>
        <v>181</v>
      </c>
      <c r="AA18" s="21">
        <f>INDEX(Allocations!$T$9:$AA$24,MATCH('Core Crown Expenditure 93-16'!$A18,Allocations!$S$9:$S$25,0),MATCH('Core Crown Expenditure 93-16'!AA$5,Allocations!$T$8:$AA$8,0))</f>
        <v>412</v>
      </c>
      <c r="AB18" s="21">
        <f>INDEX(Allocations!$T$9:$AA$24,MATCH('Core Crown Expenditure 93-16'!$A18,Allocations!$S$9:$S$25,0),MATCH('Core Crown Expenditure 93-16'!AB$5,Allocations!$T$8:$AA$8,0))</f>
        <v>484</v>
      </c>
      <c r="AC18" s="21">
        <f>INDEX(Allocations!$T$9:$AA$24,MATCH('Core Crown Expenditure 93-16'!$A18,Allocations!$S$9:$S$25,0),MATCH('Core Crown Expenditure 93-16'!AC$5,Allocations!$T$8:$AA$8,0))</f>
        <v>342</v>
      </c>
      <c r="AD18" s="21">
        <f>INDEX(Allocations!$T$9:$AA$24,MATCH('Core Crown Expenditure 93-16'!$A18,Allocations!$S$9:$S$25,0),MATCH('Core Crown Expenditure 93-16'!AD$5,Allocations!$T$8:$AA$8,0))</f>
        <v>342</v>
      </c>
      <c r="AE18" s="21">
        <f>INDEX(Allocations!$T$9:$AA$24,MATCH('Core Crown Expenditure 93-16'!$A18,Allocations!$S$9:$S$25,0),MATCH('Core Crown Expenditure 93-16'!AE$5,Allocations!$T$8:$AA$8,0))</f>
        <v>342</v>
      </c>
      <c r="AF18" s="163"/>
      <c r="AG18" s="130">
        <f>(AD18/Y18)^(1/(2021-2016))-1</f>
        <v>-5.7969343788911498E-2</v>
      </c>
    </row>
    <row r="19" spans="1:33" s="28" customFormat="1" x14ac:dyDescent="0.25">
      <c r="A19" s="24" t="s">
        <v>130</v>
      </c>
      <c r="B19" s="27">
        <v>372</v>
      </c>
      <c r="C19" s="26">
        <v>299</v>
      </c>
      <c r="D19" s="25">
        <v>309</v>
      </c>
      <c r="E19" s="26">
        <v>304</v>
      </c>
      <c r="F19" s="25">
        <v>351</v>
      </c>
      <c r="G19" s="26">
        <v>423</v>
      </c>
      <c r="H19" s="25">
        <v>334</v>
      </c>
      <c r="I19" s="26">
        <v>265</v>
      </c>
      <c r="J19" s="25">
        <v>279</v>
      </c>
      <c r="K19" s="26">
        <v>304</v>
      </c>
      <c r="L19" s="25">
        <v>355</v>
      </c>
      <c r="M19" s="26">
        <v>368</v>
      </c>
      <c r="N19" s="25">
        <v>394</v>
      </c>
      <c r="O19" s="26">
        <v>467</v>
      </c>
      <c r="P19" s="25">
        <v>438</v>
      </c>
      <c r="Q19" s="26">
        <v>541</v>
      </c>
      <c r="R19" s="25">
        <v>534</v>
      </c>
      <c r="S19" s="26">
        <v>507</v>
      </c>
      <c r="T19" s="25">
        <v>706</v>
      </c>
      <c r="U19" s="26">
        <v>648</v>
      </c>
      <c r="V19" s="25">
        <v>659</v>
      </c>
      <c r="W19" s="21">
        <v>676</v>
      </c>
      <c r="X19" s="25">
        <v>667</v>
      </c>
      <c r="Y19" s="21">
        <f>INDEX(Allocations!$T$9:$AA$24,MATCH('Core Crown Expenditure 93-16'!$A19,Allocations!$S$9:$S$25,0),MATCH('Core Crown Expenditure 93-16'!Y$5,Allocations!$T$8:$AA$8,0))</f>
        <v>749</v>
      </c>
      <c r="Z19" s="21">
        <f>INDEX(Allocations!$T$9:$AA$24,MATCH('Core Crown Expenditure 93-16'!$A19,Allocations!$S$9:$S$25,0),MATCH('Core Crown Expenditure 93-16'!Z$5,Allocations!$T$8:$AA$8,0))</f>
        <v>644</v>
      </c>
      <c r="AA19" s="21">
        <f>INDEX(Allocations!$T$9:$AA$24,MATCH('Core Crown Expenditure 93-16'!$A19,Allocations!$S$9:$S$25,0),MATCH('Core Crown Expenditure 93-16'!AA$5,Allocations!$T$8:$AA$8,0))</f>
        <v>774</v>
      </c>
      <c r="AB19" s="21">
        <f>INDEX(Allocations!$T$9:$AA$24,MATCH('Core Crown Expenditure 93-16'!$A19,Allocations!$S$9:$S$25,0),MATCH('Core Crown Expenditure 93-16'!AB$5,Allocations!$T$8:$AA$8,0))</f>
        <v>736</v>
      </c>
      <c r="AC19" s="21">
        <f>INDEX(Allocations!$T$9:$AA$24,MATCH('Core Crown Expenditure 93-16'!$A19,Allocations!$S$9:$S$25,0),MATCH('Core Crown Expenditure 93-16'!AC$5,Allocations!$T$8:$AA$8,0))</f>
        <v>737</v>
      </c>
      <c r="AD19" s="21">
        <f>INDEX(Allocations!$T$9:$AA$24,MATCH('Core Crown Expenditure 93-16'!$A19,Allocations!$S$9:$S$25,0),MATCH('Core Crown Expenditure 93-16'!AD$5,Allocations!$T$8:$AA$8,0))</f>
        <v>734</v>
      </c>
      <c r="AE19" s="21">
        <f>INDEX(Allocations!$T$9:$AA$24,MATCH('Core Crown Expenditure 93-16'!$A19,Allocations!$S$9:$S$25,0),MATCH('Core Crown Expenditure 93-16'!AE$5,Allocations!$T$8:$AA$8,0))</f>
        <v>761</v>
      </c>
      <c r="AF19" s="163"/>
      <c r="AG19" s="130">
        <f>(AD19/Y19)^(1/(2021-2016))-1</f>
        <v>-4.0378169867177904E-3</v>
      </c>
    </row>
    <row r="20" spans="1:33" s="28" customFormat="1" x14ac:dyDescent="0.25">
      <c r="A20" s="24" t="s">
        <v>131</v>
      </c>
      <c r="B20" s="27">
        <v>12071</v>
      </c>
      <c r="C20" s="26">
        <v>11479</v>
      </c>
      <c r="D20" s="25">
        <v>11724</v>
      </c>
      <c r="E20" s="26">
        <v>12240</v>
      </c>
      <c r="F20" s="25">
        <v>12620</v>
      </c>
      <c r="G20" s="26">
        <v>12509</v>
      </c>
      <c r="H20" s="25">
        <v>12906</v>
      </c>
      <c r="I20" s="26">
        <v>12896</v>
      </c>
      <c r="J20" s="25">
        <v>13207</v>
      </c>
      <c r="K20" s="26">
        <v>13485</v>
      </c>
      <c r="L20" s="25">
        <v>13907</v>
      </c>
      <c r="M20" s="26">
        <v>14252</v>
      </c>
      <c r="N20" s="25">
        <v>14682</v>
      </c>
      <c r="O20" s="26">
        <v>15598</v>
      </c>
      <c r="P20" s="25">
        <v>16768</v>
      </c>
      <c r="Q20" s="26">
        <v>17877</v>
      </c>
      <c r="R20" s="25">
        <v>19382</v>
      </c>
      <c r="S20" s="26">
        <v>21185</v>
      </c>
      <c r="T20" s="25">
        <v>22005</v>
      </c>
      <c r="U20" s="26">
        <v>22028</v>
      </c>
      <c r="V20" s="25">
        <v>22741</v>
      </c>
      <c r="W20" s="26">
        <v>23281</v>
      </c>
      <c r="X20" s="25">
        <v>23523</v>
      </c>
      <c r="Y20" s="21">
        <f>INDEX(Allocations!$T$9:$AA$24,MATCH('Core Crown Expenditure 93-16'!$A20,Allocations!$S$9:$S$25,0),MATCH('Core Crown Expenditure 93-16'!Y$5,Allocations!$T$8:$AA$8,0))</f>
        <v>24081</v>
      </c>
      <c r="Z20" s="21">
        <f>INDEX(Allocations!$T$9:$AA$24,MATCH('Core Crown Expenditure 93-16'!$A20,Allocations!$S$9:$S$25,0),MATCH('Core Crown Expenditure 93-16'!Z$5,Allocations!$T$8:$AA$8,0))</f>
        <v>25294</v>
      </c>
      <c r="AA20" s="21">
        <f>INDEX(Allocations!$T$9:$AA$24,MATCH('Core Crown Expenditure 93-16'!$A20,Allocations!$S$9:$S$25,0),MATCH('Core Crown Expenditure 93-16'!AA$5,Allocations!$T$8:$AA$8,0))</f>
        <v>26161</v>
      </c>
      <c r="AB20" s="21">
        <f>INDEX(Allocations!$T$9:$AA$24,MATCH('Core Crown Expenditure 93-16'!$A20,Allocations!$S$9:$S$25,0),MATCH('Core Crown Expenditure 93-16'!AB$5,Allocations!$T$8:$AA$8,0))</f>
        <v>28778</v>
      </c>
      <c r="AC20" s="21">
        <f>INDEX(Allocations!$T$9:$AA$24,MATCH('Core Crown Expenditure 93-16'!$A20,Allocations!$S$9:$S$25,0),MATCH('Core Crown Expenditure 93-16'!AC$5,Allocations!$T$8:$AA$8,0))</f>
        <v>29890</v>
      </c>
      <c r="AD20" s="21">
        <f>INDEX(Allocations!$T$9:$AA$24,MATCH('Core Crown Expenditure 93-16'!$A20,Allocations!$S$9:$S$25,0),MATCH('Core Crown Expenditure 93-16'!AD$5,Allocations!$T$8:$AA$8,0))</f>
        <v>31057</v>
      </c>
      <c r="AE20" s="21">
        <f>INDEX(Allocations!$T$9:$AA$24,MATCH('Core Crown Expenditure 93-16'!$A20,Allocations!$S$9:$S$25,0),MATCH('Core Crown Expenditure 93-16'!AE$5,Allocations!$T$8:$AA$8,0))</f>
        <v>32368.999999999996</v>
      </c>
      <c r="AF20" s="163"/>
      <c r="AG20" s="130">
        <f>(AD20/Y20)^(1/(2021-2016))-1</f>
        <v>5.2196848963451004E-2</v>
      </c>
    </row>
    <row r="21" spans="1:33" s="28" customFormat="1" x14ac:dyDescent="0.25">
      <c r="A21" s="32" t="s">
        <v>132</v>
      </c>
      <c r="B21" s="35">
        <v>781</v>
      </c>
      <c r="C21" s="34">
        <v>815</v>
      </c>
      <c r="D21" s="33">
        <v>796</v>
      </c>
      <c r="E21" s="34">
        <v>821</v>
      </c>
      <c r="F21" s="33">
        <v>888</v>
      </c>
      <c r="G21" s="34">
        <v>948</v>
      </c>
      <c r="H21" s="33">
        <v>1029</v>
      </c>
      <c r="I21" s="34">
        <v>1036</v>
      </c>
      <c r="J21" s="33">
        <v>905</v>
      </c>
      <c r="K21" s="34">
        <v>989</v>
      </c>
      <c r="L21" s="33">
        <v>1408</v>
      </c>
      <c r="M21" s="34">
        <v>1461</v>
      </c>
      <c r="N21" s="33">
        <v>1635</v>
      </c>
      <c r="O21" s="34">
        <v>1818</v>
      </c>
      <c r="P21" s="33">
        <v>2405</v>
      </c>
      <c r="Q21" s="34">
        <v>2244</v>
      </c>
      <c r="R21" s="33">
        <v>2663</v>
      </c>
      <c r="S21" s="34">
        <v>2345</v>
      </c>
      <c r="T21" s="33">
        <v>2281</v>
      </c>
      <c r="U21" s="34">
        <v>2232</v>
      </c>
      <c r="V21" s="33">
        <v>2255</v>
      </c>
      <c r="W21" s="21">
        <v>2237</v>
      </c>
      <c r="X21" s="33">
        <v>2291</v>
      </c>
      <c r="Y21" s="21">
        <f>INDEX(Allocations!$T$9:$AA$24,MATCH('Core Crown Expenditure 93-16'!$A21,Allocations!$S$9:$S$25,0),MATCH('Core Crown Expenditure 93-16'!Y$5,Allocations!$T$8:$AA$8,0))</f>
        <v>2178</v>
      </c>
      <c r="Z21" s="21">
        <f>INDEX(Allocations!$T$9:$AA$24,MATCH('Core Crown Expenditure 93-16'!$A21,Allocations!$S$9:$S$25,0),MATCH('Core Crown Expenditure 93-16'!Z$5,Allocations!$T$8:$AA$8,0))</f>
        <v>2176</v>
      </c>
      <c r="AA21" s="21">
        <f>INDEX(Allocations!$T$9:$AA$24,MATCH('Core Crown Expenditure 93-16'!$A21,Allocations!$S$9:$S$25,0),MATCH('Core Crown Expenditure 93-16'!AA$5,Allocations!$T$8:$AA$8,0))</f>
        <v>2486</v>
      </c>
      <c r="AB21" s="21">
        <f>INDEX(Allocations!$T$9:$AA$24,MATCH('Core Crown Expenditure 93-16'!$A21,Allocations!$S$9:$S$25,0),MATCH('Core Crown Expenditure 93-16'!AB$5,Allocations!$T$8:$AA$8,0))</f>
        <v>2350</v>
      </c>
      <c r="AC21" s="21">
        <f>INDEX(Allocations!$T$9:$AA$24,MATCH('Core Crown Expenditure 93-16'!$A21,Allocations!$S$9:$S$25,0),MATCH('Core Crown Expenditure 93-16'!AC$5,Allocations!$T$8:$AA$8,0))</f>
        <v>2280</v>
      </c>
      <c r="AD21" s="21">
        <f>INDEX(Allocations!$T$9:$AA$24,MATCH('Core Crown Expenditure 93-16'!$A21,Allocations!$S$9:$S$25,0),MATCH('Core Crown Expenditure 93-16'!AD$5,Allocations!$T$8:$AA$8,0))</f>
        <v>2813</v>
      </c>
      <c r="AE21" s="21">
        <f>INDEX(Allocations!$T$9:$AA$24,MATCH('Core Crown Expenditure 93-16'!$A21,Allocations!$S$9:$S$25,0),MATCH('Core Crown Expenditure 93-16'!AE$5,Allocations!$T$8:$AA$8,0))</f>
        <v>2423</v>
      </c>
      <c r="AF21" s="163"/>
      <c r="AG21" s="130">
        <f>(AD21/Y21)^(1/(2021-2016))-1</f>
        <v>5.2500646682501539E-2</v>
      </c>
    </row>
    <row r="22" spans="1:33" s="28" customFormat="1" x14ac:dyDescent="0.25">
      <c r="A22" s="36" t="s">
        <v>35</v>
      </c>
      <c r="B22" s="39">
        <v>31429</v>
      </c>
      <c r="C22" s="38">
        <v>29639</v>
      </c>
      <c r="D22" s="37">
        <v>30400</v>
      </c>
      <c r="E22" s="38">
        <v>31743</v>
      </c>
      <c r="F22" s="37">
        <v>32953</v>
      </c>
      <c r="G22" s="38">
        <v>34211</v>
      </c>
      <c r="H22" s="37">
        <v>35825</v>
      </c>
      <c r="I22" s="38">
        <v>36171</v>
      </c>
      <c r="J22" s="37">
        <v>36699</v>
      </c>
      <c r="K22" s="38">
        <v>37970</v>
      </c>
      <c r="L22" s="37">
        <v>39897</v>
      </c>
      <c r="M22" s="38">
        <v>41882</v>
      </c>
      <c r="N22" s="37">
        <v>44895</v>
      </c>
      <c r="O22" s="38">
        <v>49320</v>
      </c>
      <c r="P22" s="37">
        <v>54003</v>
      </c>
      <c r="Q22" s="38">
        <v>56997</v>
      </c>
      <c r="R22" s="37">
        <v>64002</v>
      </c>
      <c r="S22" s="38">
        <v>64013</v>
      </c>
      <c r="T22" s="37">
        <v>70450</v>
      </c>
      <c r="U22" s="38">
        <v>69076</v>
      </c>
      <c r="V22" s="37">
        <v>70306</v>
      </c>
      <c r="W22" s="38">
        <f>SUM(W6:W21)</f>
        <v>71467</v>
      </c>
      <c r="X22" s="37">
        <v>72363</v>
      </c>
      <c r="Y22" s="38">
        <f>SUM(Y6:Y21)</f>
        <v>73929</v>
      </c>
      <c r="Z22" s="38">
        <f>SUM(Z6:Z21)</f>
        <v>76339</v>
      </c>
      <c r="AA22" s="38">
        <f t="shared" ref="AA22:AE22" si="2">SUM(AA6:AA21)</f>
        <v>81653</v>
      </c>
      <c r="AB22" s="38">
        <f t="shared" si="2"/>
        <v>86308</v>
      </c>
      <c r="AC22" s="38">
        <f t="shared" si="2"/>
        <v>89160</v>
      </c>
      <c r="AD22" s="38">
        <f t="shared" si="2"/>
        <v>92727</v>
      </c>
      <c r="AE22" s="38">
        <f t="shared" si="2"/>
        <v>95304</v>
      </c>
      <c r="AF22" s="163"/>
      <c r="AG22" s="130">
        <f>(AD22/Y22)^(1/(2021-2016))-1</f>
        <v>4.6353124532914514E-2</v>
      </c>
    </row>
    <row r="23" spans="1:33" s="28" customFormat="1" x14ac:dyDescent="0.25">
      <c r="I23" s="23"/>
      <c r="X23" s="126"/>
      <c r="Y23" s="126"/>
      <c r="Z23" s="126"/>
      <c r="AA23" s="126"/>
      <c r="AB23" s="126"/>
      <c r="AC23" s="126"/>
      <c r="AD23" s="126"/>
    </row>
    <row r="24" spans="1:33" x14ac:dyDescent="0.25">
      <c r="A24" s="28" t="s">
        <v>36</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row>
    <row r="25" spans="1:33" x14ac:dyDescent="0.25">
      <c r="A25" s="121" t="s">
        <v>37</v>
      </c>
      <c r="B25" s="121"/>
      <c r="C25" s="121"/>
      <c r="D25" s="121"/>
      <c r="E25" s="121"/>
      <c r="F25" s="121"/>
      <c r="G25" s="121"/>
      <c r="H25" s="121"/>
      <c r="I25" s="121"/>
      <c r="J25" s="121"/>
      <c r="K25" s="121"/>
      <c r="L25" s="121"/>
      <c r="M25" s="40"/>
      <c r="N25" s="40"/>
      <c r="O25" s="40"/>
      <c r="P25" s="40"/>
      <c r="Q25" s="40"/>
      <c r="R25" s="40"/>
      <c r="S25" s="40"/>
      <c r="T25" s="40"/>
      <c r="U25" s="40"/>
      <c r="V25" s="40"/>
      <c r="W25" s="40"/>
      <c r="X25" s="40"/>
      <c r="Y25" s="40"/>
      <c r="Z25" s="28"/>
      <c r="AA25" s="28"/>
      <c r="AB25" s="28"/>
      <c r="AC25" s="28"/>
      <c r="AD25" s="28"/>
      <c r="AE25" s="121"/>
    </row>
    <row r="26" spans="1:33" x14ac:dyDescent="0.25">
      <c r="A26" s="121" t="s">
        <v>38</v>
      </c>
      <c r="B26" s="121"/>
      <c r="C26" s="121"/>
      <c r="D26" s="121"/>
      <c r="E26" s="121"/>
      <c r="F26" s="121"/>
      <c r="G26" s="121"/>
      <c r="H26" s="121"/>
      <c r="I26" s="121"/>
      <c r="J26" s="121"/>
      <c r="K26" s="121"/>
      <c r="L26" s="121"/>
      <c r="M26" s="40"/>
      <c r="N26" s="40"/>
      <c r="O26" s="40"/>
      <c r="P26" s="40"/>
      <c r="Q26" s="40"/>
      <c r="R26" s="40"/>
      <c r="S26" s="40"/>
      <c r="T26" s="40"/>
      <c r="U26" s="40"/>
      <c r="V26" s="40"/>
      <c r="W26" s="40"/>
      <c r="X26" s="40"/>
      <c r="Y26" s="40"/>
      <c r="Z26" s="121"/>
      <c r="AA26" s="121"/>
      <c r="AB26" s="121"/>
      <c r="AC26" s="121"/>
      <c r="AD26" s="121"/>
      <c r="AE26" s="121"/>
    </row>
    <row r="27" spans="1:33" x14ac:dyDescent="0.25">
      <c r="A27" s="121" t="s">
        <v>39</v>
      </c>
      <c r="B27" s="121"/>
      <c r="C27" s="121"/>
      <c r="D27" s="121"/>
      <c r="E27" s="121"/>
      <c r="F27" s="121"/>
      <c r="G27" s="121"/>
      <c r="H27" s="121"/>
      <c r="I27" s="121"/>
      <c r="J27" s="121"/>
      <c r="K27" s="121"/>
      <c r="L27" s="121"/>
      <c r="M27" s="40"/>
      <c r="N27" s="40"/>
      <c r="O27" s="40"/>
      <c r="P27" s="40"/>
      <c r="Q27" s="40"/>
      <c r="R27" s="40"/>
      <c r="S27" s="40"/>
      <c r="T27" s="40"/>
      <c r="U27" s="40"/>
      <c r="V27" s="40"/>
      <c r="W27" s="40"/>
      <c r="X27" s="40"/>
      <c r="Y27" s="40"/>
      <c r="Z27" s="121"/>
      <c r="AA27" s="121"/>
      <c r="AB27" s="121"/>
      <c r="AC27" s="121"/>
      <c r="AD27" s="121"/>
      <c r="AE27" s="121"/>
    </row>
    <row r="28" spans="1:33" x14ac:dyDescent="0.25">
      <c r="A28" s="41" t="s">
        <v>40</v>
      </c>
      <c r="B28" s="121"/>
      <c r="C28" s="121"/>
      <c r="D28" s="121"/>
      <c r="E28" s="121"/>
      <c r="F28" s="121"/>
      <c r="G28" s="121"/>
      <c r="H28" s="121"/>
      <c r="I28" s="121"/>
      <c r="J28" s="121"/>
      <c r="K28" s="121"/>
      <c r="L28" s="121"/>
      <c r="M28" s="40"/>
      <c r="N28" s="40"/>
      <c r="O28" s="40"/>
      <c r="P28" s="40"/>
      <c r="Q28" s="40"/>
      <c r="R28" s="40"/>
      <c r="S28" s="40"/>
      <c r="T28" s="40"/>
      <c r="U28" s="40"/>
      <c r="V28" s="40"/>
      <c r="W28" s="40"/>
      <c r="X28" s="40"/>
      <c r="Y28" s="40"/>
      <c r="Z28" s="121"/>
      <c r="AA28" s="121"/>
      <c r="AB28" s="121"/>
      <c r="AC28" s="121"/>
      <c r="AD28" s="121"/>
      <c r="AE28" s="121"/>
    </row>
    <row r="29" spans="1:33" x14ac:dyDescent="0.25">
      <c r="A29" s="121"/>
      <c r="B29" s="121"/>
      <c r="C29" s="121"/>
      <c r="D29" s="121"/>
      <c r="E29" s="121"/>
      <c r="F29" s="121"/>
      <c r="G29" s="121"/>
      <c r="H29" s="121"/>
      <c r="I29" s="121"/>
      <c r="J29" s="121"/>
      <c r="K29" s="121"/>
      <c r="L29" s="121"/>
      <c r="M29" s="40"/>
      <c r="N29" s="40"/>
      <c r="O29" s="40"/>
      <c r="P29" s="40"/>
      <c r="Q29" s="40"/>
      <c r="R29" s="40"/>
      <c r="S29" s="40"/>
      <c r="T29" s="40"/>
      <c r="U29" s="40"/>
      <c r="V29" s="40"/>
      <c r="W29" s="40"/>
      <c r="X29" s="40"/>
      <c r="Y29" s="40"/>
      <c r="Z29" s="121"/>
      <c r="AA29" s="121"/>
      <c r="AB29" s="121"/>
      <c r="AC29" s="121"/>
      <c r="AD29" s="121"/>
      <c r="AE29" s="121"/>
    </row>
    <row r="30" spans="1:33" x14ac:dyDescent="0.25">
      <c r="A30" s="121" t="s">
        <v>41</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row>
    <row r="31" spans="1:33" x14ac:dyDescent="0.25">
      <c r="A31" s="41" t="s">
        <v>42</v>
      </c>
      <c r="B31" s="121"/>
      <c r="C31" s="121"/>
      <c r="D31" s="121"/>
      <c r="E31" s="121"/>
      <c r="F31" s="121"/>
      <c r="G31" s="121"/>
      <c r="H31" s="121"/>
      <c r="I31" s="121"/>
      <c r="J31" s="121"/>
      <c r="K31" s="121"/>
      <c r="L31" s="121"/>
      <c r="M31" s="121"/>
      <c r="N31" s="121"/>
      <c r="O31" s="121"/>
      <c r="P31" s="121"/>
      <c r="Q31" s="40"/>
      <c r="R31" s="121"/>
      <c r="S31" s="121"/>
      <c r="T31" s="121"/>
      <c r="U31" s="121"/>
      <c r="V31" s="121"/>
      <c r="W31" s="121"/>
      <c r="X31" s="121"/>
      <c r="Y31" s="121"/>
      <c r="Z31" s="121"/>
      <c r="AA31" s="121"/>
      <c r="AB31" s="121"/>
      <c r="AC31" s="121"/>
      <c r="AD31" s="121"/>
      <c r="AE31" s="121"/>
    </row>
    <row r="32" spans="1:33" x14ac:dyDescent="0.25">
      <c r="A32" s="41" t="s">
        <v>43</v>
      </c>
      <c r="B32" s="121"/>
      <c r="C32" s="121"/>
      <c r="D32" s="121"/>
      <c r="E32" s="121"/>
      <c r="F32" s="121"/>
      <c r="G32" s="121"/>
      <c r="H32" s="121"/>
      <c r="I32" s="121"/>
      <c r="J32" s="121"/>
      <c r="K32" s="121"/>
      <c r="L32" s="121"/>
      <c r="M32" s="121"/>
      <c r="N32" s="121"/>
      <c r="O32" s="121"/>
      <c r="P32" s="121"/>
      <c r="Q32" s="121"/>
      <c r="R32" s="121"/>
      <c r="S32" s="121"/>
      <c r="T32" s="121"/>
      <c r="U32" s="121"/>
      <c r="V32" s="40"/>
      <c r="W32" s="121"/>
      <c r="X32" s="121"/>
      <c r="Y32" s="121"/>
      <c r="Z32" s="121"/>
      <c r="AA32" s="121"/>
      <c r="AB32" s="121"/>
      <c r="AC32" s="121"/>
      <c r="AD32" s="121"/>
      <c r="AE32" s="121"/>
    </row>
    <row r="33" spans="1:22" x14ac:dyDescent="0.25">
      <c r="A33" s="41" t="s">
        <v>44</v>
      </c>
      <c r="B33" s="121"/>
      <c r="C33" s="121"/>
      <c r="D33" s="121"/>
      <c r="E33" s="121"/>
      <c r="F33" s="121"/>
      <c r="G33" s="121"/>
      <c r="H33" s="121"/>
      <c r="I33" s="121"/>
      <c r="J33" s="121"/>
      <c r="K33" s="121"/>
      <c r="L33" s="121"/>
      <c r="M33" s="121"/>
      <c r="N33" s="40"/>
      <c r="O33" s="40"/>
      <c r="P33" s="40"/>
      <c r="Q33" s="121"/>
      <c r="R33" s="121"/>
      <c r="S33" s="121"/>
      <c r="T33" s="121"/>
      <c r="U33" s="121"/>
      <c r="V33" s="40"/>
    </row>
    <row r="34" spans="1:22" x14ac:dyDescent="0.25">
      <c r="A34" s="121" t="s">
        <v>45</v>
      </c>
      <c r="B34" s="121"/>
      <c r="C34" s="121"/>
      <c r="D34" s="121"/>
      <c r="E34" s="121"/>
      <c r="F34" s="121"/>
      <c r="G34" s="121"/>
      <c r="H34" s="121"/>
      <c r="I34" s="121"/>
      <c r="J34" s="121"/>
      <c r="K34" s="121"/>
      <c r="L34" s="121"/>
      <c r="M34" s="121"/>
      <c r="N34" s="121"/>
      <c r="O34" s="121"/>
      <c r="P34" s="121"/>
      <c r="Q34" s="121"/>
      <c r="R34" s="121"/>
      <c r="S34" s="121"/>
      <c r="T34" s="121"/>
      <c r="U34" s="121"/>
      <c r="V34" s="121"/>
    </row>
    <row r="35" spans="1:22" x14ac:dyDescent="0.25">
      <c r="A35" s="121" t="s">
        <v>46</v>
      </c>
      <c r="B35" s="121"/>
      <c r="C35" s="121"/>
      <c r="D35" s="121"/>
      <c r="E35" s="121"/>
      <c r="F35" s="121"/>
      <c r="G35" s="121"/>
      <c r="H35" s="121"/>
      <c r="I35" s="121"/>
      <c r="J35" s="121"/>
      <c r="K35" s="121"/>
      <c r="L35" s="121"/>
      <c r="M35" s="121"/>
      <c r="N35" s="40"/>
      <c r="O35" s="40"/>
      <c r="P35" s="40"/>
      <c r="Q35" s="121"/>
      <c r="R35" s="121"/>
      <c r="S35" s="121"/>
      <c r="T35" s="121"/>
      <c r="U35" s="121"/>
      <c r="V35" s="121"/>
    </row>
    <row r="36" spans="1:22" x14ac:dyDescent="0.25">
      <c r="A36" s="121" t="s">
        <v>47</v>
      </c>
      <c r="B36" s="121"/>
      <c r="C36" s="121"/>
      <c r="D36" s="121"/>
      <c r="E36" s="121"/>
      <c r="F36" s="121"/>
      <c r="G36" s="121"/>
      <c r="H36" s="121"/>
      <c r="I36" s="121"/>
      <c r="J36" s="121"/>
      <c r="K36" s="121"/>
      <c r="L36" s="121"/>
      <c r="M36" s="121"/>
      <c r="N36" s="40"/>
      <c r="O36" s="40"/>
      <c r="P36" s="40"/>
      <c r="Q36" s="121"/>
      <c r="R36" s="121"/>
      <c r="S36" s="121"/>
      <c r="T36" s="121"/>
      <c r="U36" s="121"/>
      <c r="V36" s="121"/>
    </row>
    <row r="37" spans="1:22" x14ac:dyDescent="0.25">
      <c r="A37" s="121" t="s">
        <v>48</v>
      </c>
      <c r="B37" s="121"/>
      <c r="C37" s="121"/>
      <c r="D37" s="121"/>
      <c r="E37" s="121"/>
      <c r="F37" s="121"/>
      <c r="G37" s="121"/>
      <c r="H37" s="121"/>
      <c r="I37" s="121"/>
      <c r="J37" s="121"/>
      <c r="K37" s="121"/>
      <c r="L37" s="121"/>
      <c r="M37" s="121"/>
      <c r="N37" s="40"/>
      <c r="O37" s="40"/>
      <c r="P37" s="40"/>
      <c r="Q37" s="121"/>
      <c r="R37" s="121"/>
      <c r="S37" s="121"/>
      <c r="T37" s="121"/>
      <c r="U37" s="121"/>
      <c r="V37" s="121"/>
    </row>
    <row r="38" spans="1:22" x14ac:dyDescent="0.25">
      <c r="A38" s="121" t="s">
        <v>49</v>
      </c>
      <c r="B38" s="121"/>
      <c r="C38" s="121"/>
      <c r="D38" s="121"/>
      <c r="E38" s="121"/>
      <c r="F38" s="121"/>
      <c r="G38" s="121"/>
      <c r="H38" s="121"/>
      <c r="I38" s="121"/>
      <c r="J38" s="121"/>
      <c r="K38" s="121"/>
      <c r="L38" s="121"/>
      <c r="M38" s="121"/>
      <c r="N38" s="40"/>
      <c r="O38" s="40"/>
      <c r="P38" s="40"/>
      <c r="Q38" s="121"/>
      <c r="R38" s="121"/>
      <c r="S38" s="121"/>
      <c r="T38" s="121"/>
      <c r="U38" s="121"/>
      <c r="V38" s="121"/>
    </row>
    <row r="39" spans="1:22" x14ac:dyDescent="0.25">
      <c r="A39" s="121"/>
      <c r="B39" s="121"/>
      <c r="C39" s="121"/>
      <c r="D39" s="121"/>
      <c r="E39" s="121"/>
      <c r="F39" s="121"/>
      <c r="G39" s="121"/>
      <c r="H39" s="121"/>
      <c r="I39" s="121"/>
      <c r="J39" s="121"/>
      <c r="K39" s="121"/>
      <c r="L39" s="121"/>
      <c r="M39" s="121"/>
      <c r="N39" s="40"/>
      <c r="O39" s="40"/>
      <c r="P39" s="40"/>
      <c r="Q39" s="121"/>
      <c r="R39" s="121"/>
      <c r="S39" s="121"/>
      <c r="T39" s="121"/>
      <c r="U39" s="121"/>
      <c r="V39" s="121"/>
    </row>
    <row r="40" spans="1:22" x14ac:dyDescent="0.25">
      <c r="A40" s="121"/>
      <c r="B40" s="121"/>
      <c r="C40" s="121"/>
      <c r="D40" s="121"/>
      <c r="E40" s="121"/>
      <c r="F40" s="121"/>
      <c r="G40" s="121"/>
      <c r="H40" s="121"/>
      <c r="I40" s="121"/>
      <c r="J40" s="121"/>
      <c r="K40" s="121"/>
      <c r="L40" s="121"/>
      <c r="M40" s="121"/>
      <c r="N40" s="40"/>
      <c r="O40" s="40"/>
      <c r="P40" s="40"/>
      <c r="Q40" s="121"/>
      <c r="R40" s="121"/>
      <c r="S40" s="121"/>
      <c r="T40" s="121"/>
      <c r="U40" s="121"/>
      <c r="V40" s="121"/>
    </row>
    <row r="41" spans="1:22" x14ac:dyDescent="0.25">
      <c r="A41" s="121"/>
      <c r="B41" s="121"/>
      <c r="C41" s="121"/>
      <c r="D41" s="121"/>
      <c r="E41" s="121"/>
      <c r="F41" s="121"/>
      <c r="G41" s="121"/>
      <c r="H41" s="121"/>
      <c r="I41" s="121"/>
      <c r="J41" s="121"/>
      <c r="K41" s="121"/>
      <c r="L41" s="121"/>
      <c r="M41" s="121"/>
      <c r="N41" s="40"/>
      <c r="O41" s="40"/>
      <c r="P41" s="40"/>
      <c r="Q41" s="121"/>
      <c r="R41" s="121"/>
      <c r="S41" s="121"/>
      <c r="T41" s="121"/>
      <c r="U41" s="121"/>
      <c r="V41" s="121"/>
    </row>
    <row r="47" spans="1:22" x14ac:dyDescent="0.25">
      <c r="A47" s="121"/>
      <c r="B47" s="121"/>
      <c r="C47" s="121"/>
      <c r="D47" s="121"/>
      <c r="E47" s="121"/>
      <c r="F47" s="121"/>
      <c r="G47" s="121"/>
      <c r="H47" s="121"/>
      <c r="I47" s="121"/>
      <c r="J47" s="121"/>
      <c r="K47" s="121"/>
      <c r="L47" s="121"/>
      <c r="M47" s="121"/>
      <c r="N47" s="40"/>
      <c r="O47" s="40"/>
      <c r="P47" s="40"/>
      <c r="Q47" s="121"/>
      <c r="R47" s="121"/>
      <c r="S47" s="121"/>
      <c r="T47" s="121"/>
      <c r="U47" s="121"/>
      <c r="V47" s="121"/>
    </row>
    <row r="48" spans="1:22" x14ac:dyDescent="0.25">
      <c r="A48" s="121"/>
      <c r="B48" s="121"/>
      <c r="C48" s="121"/>
      <c r="D48" s="121"/>
      <c r="E48" s="40"/>
      <c r="F48" s="40"/>
      <c r="G48" s="40"/>
      <c r="H48" s="121"/>
      <c r="I48" s="121"/>
      <c r="J48" s="121"/>
      <c r="K48" s="121"/>
      <c r="L48" s="121"/>
      <c r="M48" s="121"/>
      <c r="N48" s="121"/>
      <c r="O48" s="121"/>
      <c r="P48" s="121"/>
      <c r="Q48" s="121"/>
      <c r="R48" s="121"/>
      <c r="S48" s="121"/>
      <c r="T48" s="121"/>
      <c r="U48" s="121"/>
      <c r="V48" s="121"/>
    </row>
    <row r="49" spans="5:13" x14ac:dyDescent="0.25">
      <c r="E49" s="121"/>
      <c r="F49" s="121"/>
      <c r="G49" s="121"/>
      <c r="H49" s="121"/>
      <c r="I49" s="121"/>
      <c r="J49" s="121"/>
      <c r="K49" s="121"/>
      <c r="L49" s="40"/>
      <c r="M49" s="121"/>
    </row>
    <row r="50" spans="5:13" x14ac:dyDescent="0.25">
      <c r="E50" s="40"/>
      <c r="F50" s="40"/>
      <c r="G50" s="40"/>
      <c r="H50" s="40"/>
      <c r="I50" s="40"/>
      <c r="J50" s="40"/>
      <c r="K50" s="40"/>
      <c r="L50" s="121"/>
      <c r="M50" s="40"/>
    </row>
  </sheetData>
  <mergeCells count="1">
    <mergeCell ref="A2:A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5"/>
  <sheetViews>
    <sheetView workbookViewId="0">
      <selection activeCell="T8" sqref="T8"/>
    </sheetView>
  </sheetViews>
  <sheetFormatPr defaultRowHeight="15" x14ac:dyDescent="0.25"/>
  <cols>
    <col min="1" max="2" width="9.140625" style="164"/>
    <col min="17" max="18" width="9.5703125" customWidth="1"/>
    <col min="19" max="22" width="9.5703125" style="164" customWidth="1"/>
    <col min="23" max="23" width="10.5703125" style="164" bestFit="1" customWidth="1"/>
    <col min="24" max="28" width="10.5703125" bestFit="1" customWidth="1"/>
  </cols>
  <sheetData>
    <row r="1" spans="1:28" x14ac:dyDescent="0.25">
      <c r="C1" s="137" t="s">
        <v>133</v>
      </c>
      <c r="D1" s="138"/>
      <c r="E1" s="132" t="s">
        <v>134</v>
      </c>
      <c r="F1" s="132" t="s">
        <v>135</v>
      </c>
      <c r="G1" s="132" t="s">
        <v>136</v>
      </c>
      <c r="H1" s="132" t="s">
        <v>137</v>
      </c>
      <c r="I1" s="132" t="s">
        <v>138</v>
      </c>
      <c r="J1" s="121"/>
      <c r="K1" s="121"/>
      <c r="L1" s="121"/>
      <c r="M1" s="121"/>
      <c r="N1" s="121"/>
      <c r="O1" s="121"/>
      <c r="P1" s="121"/>
      <c r="Q1" s="121"/>
      <c r="R1" s="121"/>
      <c r="X1" s="121"/>
      <c r="Y1" s="121"/>
      <c r="Z1" s="121"/>
    </row>
    <row r="2" spans="1:28" x14ac:dyDescent="0.25">
      <c r="C2" s="137"/>
      <c r="D2" s="138"/>
      <c r="E2" s="124">
        <v>2016</v>
      </c>
      <c r="F2" s="124">
        <v>2017</v>
      </c>
      <c r="G2" s="124">
        <v>2018</v>
      </c>
      <c r="H2" s="124">
        <v>2020</v>
      </c>
      <c r="I2" s="124">
        <v>2010</v>
      </c>
      <c r="J2" s="121"/>
      <c r="K2" s="121"/>
      <c r="L2" s="121"/>
      <c r="M2" s="121"/>
      <c r="N2" s="121"/>
      <c r="O2" s="121"/>
      <c r="P2" s="121"/>
      <c r="Q2" s="121"/>
      <c r="R2" s="121"/>
      <c r="X2" s="121"/>
      <c r="Y2" s="121"/>
      <c r="Z2" s="121"/>
    </row>
    <row r="3" spans="1:28" x14ac:dyDescent="0.25">
      <c r="C3" s="124" t="s">
        <v>139</v>
      </c>
      <c r="D3" s="138"/>
      <c r="E3" s="139">
        <v>0.23</v>
      </c>
      <c r="F3" s="139">
        <v>0.29299999999999998</v>
      </c>
      <c r="G3" s="139">
        <v>1.9710000000000001</v>
      </c>
      <c r="H3" s="139">
        <v>3.6469999999999998</v>
      </c>
      <c r="I3" s="139">
        <v>5.383</v>
      </c>
      <c r="J3" s="121"/>
      <c r="K3" s="121"/>
      <c r="L3" s="121"/>
      <c r="M3" s="121"/>
      <c r="N3" s="121"/>
      <c r="O3" s="121"/>
      <c r="P3" s="121"/>
      <c r="Q3" s="121"/>
      <c r="R3" s="121"/>
      <c r="X3" s="121"/>
      <c r="Y3" s="121"/>
      <c r="Z3" s="121"/>
    </row>
    <row r="4" spans="1:28" x14ac:dyDescent="0.25">
      <c r="C4" s="124" t="s">
        <v>140</v>
      </c>
      <c r="D4" s="138"/>
      <c r="E4" s="139">
        <v>-0.45</v>
      </c>
      <c r="F4" s="139">
        <v>-1</v>
      </c>
      <c r="G4" s="139">
        <v>-0.54500000000000004</v>
      </c>
      <c r="H4" s="139">
        <v>-0.5</v>
      </c>
      <c r="I4" s="139">
        <v>-0.5</v>
      </c>
      <c r="J4" s="121"/>
      <c r="K4" s="121"/>
      <c r="L4" s="121"/>
      <c r="M4" s="121"/>
      <c r="N4" s="121"/>
      <c r="O4" s="121"/>
      <c r="P4" s="121"/>
      <c r="Q4" s="121"/>
      <c r="R4" s="121"/>
      <c r="X4" s="121"/>
      <c r="Y4" s="121"/>
      <c r="Z4" s="121"/>
    </row>
    <row r="5" spans="1:28" x14ac:dyDescent="0.25">
      <c r="C5" s="124" t="s">
        <v>141</v>
      </c>
      <c r="D5" s="138"/>
      <c r="E5" s="140" t="e">
        <f>SUM(#REF!)</f>
        <v>#REF!</v>
      </c>
      <c r="F5" s="140" t="e">
        <f>SUM(#REF!)</f>
        <v>#REF!</v>
      </c>
      <c r="G5" s="140" t="e">
        <f>SUM(#REF!)</f>
        <v>#REF!</v>
      </c>
      <c r="H5" s="140" t="e">
        <f>SUM(#REF!)</f>
        <v>#REF!</v>
      </c>
      <c r="I5" s="140" t="e">
        <f>SUM(#REF!)</f>
        <v>#REF!</v>
      </c>
      <c r="J5" s="121"/>
      <c r="K5" s="121"/>
      <c r="L5" s="121"/>
      <c r="M5" s="121"/>
      <c r="N5" s="121"/>
      <c r="O5" s="121"/>
      <c r="P5" s="121"/>
      <c r="Q5" s="121"/>
      <c r="R5" s="121"/>
      <c r="X5" s="121"/>
      <c r="Y5" s="121"/>
      <c r="Z5" s="121"/>
    </row>
    <row r="6" spans="1:28" x14ac:dyDescent="0.25">
      <c r="C6" s="124"/>
      <c r="D6" s="138" t="s">
        <v>142</v>
      </c>
      <c r="E6" s="124"/>
      <c r="F6" s="141"/>
      <c r="G6" s="141"/>
      <c r="H6" s="141"/>
      <c r="I6" s="141"/>
      <c r="J6" s="121"/>
      <c r="K6" s="121"/>
      <c r="L6" s="121"/>
      <c r="M6" s="121"/>
      <c r="X6" s="121"/>
      <c r="Y6" s="121"/>
      <c r="Z6" s="121"/>
    </row>
    <row r="7" spans="1:28" ht="16.5" x14ac:dyDescent="0.25">
      <c r="C7" s="142" t="s">
        <v>143</v>
      </c>
      <c r="D7" s="138" t="s">
        <v>144</v>
      </c>
      <c r="E7" s="124"/>
      <c r="F7" s="138"/>
      <c r="G7" s="138"/>
      <c r="H7" s="138"/>
      <c r="I7" s="138"/>
      <c r="J7" s="121"/>
      <c r="K7" s="121"/>
      <c r="M7">
        <v>2</v>
      </c>
      <c r="N7" s="121">
        <f>+M7+1</f>
        <v>3</v>
      </c>
      <c r="O7" s="121">
        <f>+N7+1</f>
        <v>4</v>
      </c>
      <c r="P7" s="147">
        <f t="shared" ref="P7:R7" si="0">+O7+1</f>
        <v>5</v>
      </c>
      <c r="Q7" s="147">
        <f t="shared" si="0"/>
        <v>6</v>
      </c>
      <c r="R7" s="147">
        <f t="shared" si="0"/>
        <v>7</v>
      </c>
      <c r="X7" s="121"/>
      <c r="Y7" s="121"/>
      <c r="Z7" s="121"/>
    </row>
    <row r="8" spans="1:28" x14ac:dyDescent="0.25">
      <c r="D8" s="166">
        <v>2015</v>
      </c>
      <c r="E8" s="166">
        <v>2016</v>
      </c>
      <c r="F8" s="166">
        <v>2017</v>
      </c>
      <c r="G8" s="173">
        <v>2018</v>
      </c>
      <c r="H8" s="173">
        <v>2019</v>
      </c>
      <c r="I8" s="173">
        <v>2020</v>
      </c>
      <c r="J8" s="173">
        <v>2021</v>
      </c>
      <c r="K8" s="173">
        <v>2022</v>
      </c>
      <c r="N8" s="168" t="s">
        <v>135</v>
      </c>
      <c r="O8" s="168" t="s">
        <v>136</v>
      </c>
      <c r="P8" s="168" t="s">
        <v>137</v>
      </c>
      <c r="Q8" s="168" t="s">
        <v>138</v>
      </c>
      <c r="R8" s="168" t="s">
        <v>156</v>
      </c>
      <c r="S8" s="168"/>
      <c r="T8" s="168">
        <f>+D8</f>
        <v>2015</v>
      </c>
      <c r="U8" s="168">
        <f t="shared" ref="U8:AA9" si="1">+E8</f>
        <v>2016</v>
      </c>
      <c r="V8" s="168">
        <f t="shared" si="1"/>
        <v>2017</v>
      </c>
      <c r="W8" s="168">
        <f t="shared" si="1"/>
        <v>2018</v>
      </c>
      <c r="X8" s="168">
        <f t="shared" si="1"/>
        <v>2019</v>
      </c>
      <c r="Y8" s="168">
        <f t="shared" si="1"/>
        <v>2020</v>
      </c>
      <c r="Z8" s="168">
        <f t="shared" si="1"/>
        <v>2021</v>
      </c>
      <c r="AA8" s="168">
        <f t="shared" si="1"/>
        <v>2022</v>
      </c>
      <c r="AB8" s="168"/>
    </row>
    <row r="9" spans="1:28" x14ac:dyDescent="0.25">
      <c r="A9" s="164">
        <v>57</v>
      </c>
      <c r="B9" s="164" t="s">
        <v>145</v>
      </c>
      <c r="C9" s="19" t="s">
        <v>71</v>
      </c>
      <c r="D9" s="21">
        <f>INDEX('From Fiscal forecasts'!$E:$L,Allocations!$A9,MATCH(Allocations!D$8,'From Fiscal forecasts'!$E$7:$L$7,0))*1000</f>
        <v>4134</v>
      </c>
      <c r="E9" s="21">
        <f>INDEX('From Fiscal forecasts'!$E:$L,Allocations!$A9,MATCH(Allocations!E$8,'From Fiscal forecasts'!$E$7:$L$7,0))*1000</f>
        <v>4102</v>
      </c>
      <c r="F9" s="21">
        <f>INDEX('From Fiscal forecasts'!$E:$L,Allocations!$A9,MATCH(Allocations!F$8,'From Fiscal forecasts'!$E$7:$L$7,0))*1000</f>
        <v>3957</v>
      </c>
      <c r="G9" s="21">
        <f>INDEX('From Fiscal forecasts'!$E:$L,Allocations!$A9,MATCH(Allocations!G$8,'From Fiscal forecasts'!$E$7:$L$7,0))*1000</f>
        <v>5477</v>
      </c>
      <c r="H9" s="21">
        <f>INDEX('From Fiscal forecasts'!$E:$L,Allocations!$A9,MATCH(Allocations!H$8,'From Fiscal forecasts'!$E$7:$L$7,0))*1000</f>
        <v>4727</v>
      </c>
      <c r="I9" s="21">
        <f>INDEX('From Fiscal forecasts'!$E:$L,Allocations!$A9,MATCH(Allocations!I$8,'From Fiscal forecasts'!$E$7:$L$7,0))*1000</f>
        <v>4657</v>
      </c>
      <c r="J9" s="21">
        <f>INDEX('From Fiscal forecasts'!$E:$L,Allocations!$A9,MATCH(Allocations!J$8,'From Fiscal forecasts'!$E$7:$L$7,0))*1000</f>
        <v>4438</v>
      </c>
      <c r="K9" s="21">
        <f>INDEX('From Fiscal forecasts'!$E:$L,Allocations!$A9,MATCH(Allocations!K$8,'From Fiscal forecasts'!$E$7:$L$7,0))*1000</f>
        <v>4416</v>
      </c>
      <c r="L9" s="138" t="s">
        <v>145</v>
      </c>
      <c r="M9" s="174">
        <f>VLOOKUP($L9,'From allocate tab'!$A:$G,M$7,0)</f>
        <v>0.1</v>
      </c>
      <c r="N9" s="143">
        <f>VLOOKUP($L9,'From allocate tab'!$A:$G,N$7,0)</f>
        <v>-0.11899999999999999</v>
      </c>
      <c r="O9" s="152">
        <f>VLOOKUP($L9,'From allocate tab'!$A:$G,O$7,0)</f>
        <v>0.19700000000000001</v>
      </c>
      <c r="P9" s="152">
        <f>VLOOKUP($L9,'From allocate tab'!$A:$G,P$7,0)</f>
        <v>0.39200000000000002</v>
      </c>
      <c r="Q9" s="152">
        <f>VLOOKUP($L9,'From allocate tab'!$A:$G,Q$7,0)</f>
        <v>0.57599999999999996</v>
      </c>
      <c r="R9" s="152">
        <f>VLOOKUP($L9,'From allocate tab'!$A:$G,R$7,0)</f>
        <v>0.751</v>
      </c>
      <c r="S9" s="19" t="s">
        <v>71</v>
      </c>
      <c r="T9" s="163">
        <f>+D9</f>
        <v>4134</v>
      </c>
      <c r="U9" s="163">
        <f t="shared" si="1"/>
        <v>4102</v>
      </c>
      <c r="V9" s="163">
        <f t="shared" si="1"/>
        <v>3957</v>
      </c>
      <c r="W9" s="144">
        <f>G9+N9*1000</f>
        <v>5358</v>
      </c>
      <c r="X9" s="144">
        <f t="shared" ref="X9:AA9" si="2">H9+O9*1000</f>
        <v>4924</v>
      </c>
      <c r="Y9" s="144">
        <f t="shared" si="2"/>
        <v>5049</v>
      </c>
      <c r="Z9" s="144">
        <f t="shared" si="2"/>
        <v>5014</v>
      </c>
      <c r="AA9" s="144">
        <f t="shared" si="2"/>
        <v>5167</v>
      </c>
    </row>
    <row r="10" spans="1:28" x14ac:dyDescent="0.25">
      <c r="A10" s="164">
        <v>59</v>
      </c>
      <c r="B10" s="164" t="s">
        <v>27</v>
      </c>
      <c r="C10" s="24" t="s">
        <v>27</v>
      </c>
      <c r="D10" s="21">
        <f>INDEX('From Fiscal forecasts'!$E:$L,Allocations!$A10,MATCH(Allocations!D$8,'From Fiscal forecasts'!$E$7:$L$7,0))*1000</f>
        <v>1961</v>
      </c>
      <c r="E10" s="21">
        <f>INDEX('From Fiscal forecasts'!$E:$L,Allocations!$A10,MATCH(Allocations!E$8,'From Fiscal forecasts'!$E$7:$L$7,0))*1000</f>
        <v>2025.9999999999998</v>
      </c>
      <c r="F10" s="21">
        <f>INDEX('From Fiscal forecasts'!$E:$L,Allocations!$A10,MATCH(Allocations!F$8,'From Fiscal forecasts'!$E$7:$L$7,0))*1000</f>
        <v>2146</v>
      </c>
      <c r="G10" s="21">
        <f>INDEX('From Fiscal forecasts'!$E:$L,Allocations!$A10,MATCH(Allocations!G$8,'From Fiscal forecasts'!$E$7:$L$7,0))*1000</f>
        <v>2318</v>
      </c>
      <c r="H10" s="21">
        <f>INDEX('From Fiscal forecasts'!$E:$L,Allocations!$A10,MATCH(Allocations!H$8,'From Fiscal forecasts'!$E$7:$L$7,0))*1000</f>
        <v>2363</v>
      </c>
      <c r="I10" s="21">
        <f>INDEX('From Fiscal forecasts'!$E:$L,Allocations!$A10,MATCH(Allocations!I$8,'From Fiscal forecasts'!$E$7:$L$7,0))*1000</f>
        <v>2373</v>
      </c>
      <c r="J10" s="21">
        <f>INDEX('From Fiscal forecasts'!$E:$L,Allocations!$A10,MATCH(Allocations!J$8,'From Fiscal forecasts'!$E$7:$L$7,0))*1000</f>
        <v>2383</v>
      </c>
      <c r="K10" s="21">
        <f>INDEX('From Fiscal forecasts'!$E:$L,Allocations!$A10,MATCH(Allocations!K$8,'From Fiscal forecasts'!$E$7:$L$7,0))*1000</f>
        <v>2389</v>
      </c>
      <c r="L10" s="138" t="s">
        <v>27</v>
      </c>
      <c r="M10" s="174">
        <f>VLOOKUP($L10,'From allocate tab'!$A:$G,M$7,0)</f>
        <v>4.4999999999999998E-2</v>
      </c>
      <c r="N10" s="152">
        <f>VLOOKUP($L10,'From allocate tab'!$A:$G,N$7,0)</f>
        <v>-5.2999999999999999E-2</v>
      </c>
      <c r="O10" s="152">
        <f>VLOOKUP($L10,'From allocate tab'!$A:$G,O$7,0)</f>
        <v>8.8999999999999996E-2</v>
      </c>
      <c r="P10" s="152">
        <f>VLOOKUP($L10,'From allocate tab'!$A:$G,P$7,0)</f>
        <v>0.17599999999999999</v>
      </c>
      <c r="Q10" s="152">
        <f>VLOOKUP($L10,'From allocate tab'!$A:$G,Q$7,0)</f>
        <v>0.25900000000000001</v>
      </c>
      <c r="R10" s="152">
        <f>VLOOKUP($L10,'From allocate tab'!$A:$G,R$7,0)</f>
        <v>0.33800000000000002</v>
      </c>
      <c r="S10" s="24" t="s">
        <v>27</v>
      </c>
      <c r="T10" s="163">
        <f t="shared" ref="T10:T25" si="3">+D10</f>
        <v>1961</v>
      </c>
      <c r="U10" s="163">
        <f t="shared" ref="U10:U25" si="4">+E10</f>
        <v>2025.9999999999998</v>
      </c>
      <c r="V10" s="163">
        <f t="shared" ref="V10:V25" si="5">+F10</f>
        <v>2146</v>
      </c>
      <c r="W10" s="144">
        <f t="shared" ref="W10:W24" si="6">G10+N10*1000</f>
        <v>2265</v>
      </c>
      <c r="X10" s="144">
        <f t="shared" ref="X10:X24" si="7">H10+O10*1000</f>
        <v>2452</v>
      </c>
      <c r="Y10" s="144">
        <f t="shared" ref="Y10:Y24" si="8">I10+P10*1000</f>
        <v>2549</v>
      </c>
      <c r="Z10" s="144">
        <f t="shared" ref="Z10:Z24" si="9">J10+Q10*1000</f>
        <v>2642</v>
      </c>
      <c r="AA10" s="144">
        <f t="shared" ref="AA10:AA24" si="10">K10+R10*1000</f>
        <v>2727</v>
      </c>
    </row>
    <row r="11" spans="1:28" x14ac:dyDescent="0.25">
      <c r="A11" s="164">
        <v>61</v>
      </c>
      <c r="B11" s="164" t="s">
        <v>121</v>
      </c>
      <c r="C11" s="24" t="s">
        <v>121</v>
      </c>
      <c r="D11" s="21">
        <f>INDEX('From Fiscal forecasts'!$E:$L,Allocations!$A11,MATCH(Allocations!D$8,'From Fiscal forecasts'!$E$7:$L$7,0))*1000</f>
        <v>2228</v>
      </c>
      <c r="E11" s="21">
        <f>INDEX('From Fiscal forecasts'!$E:$L,Allocations!$A11,MATCH(Allocations!E$8,'From Fiscal forecasts'!$E$7:$L$7,0))*1000</f>
        <v>2107</v>
      </c>
      <c r="F11" s="21">
        <f>INDEX('From Fiscal forecasts'!$E:$L,Allocations!$A11,MATCH(Allocations!F$8,'From Fiscal forecasts'!$E$7:$L$7,0))*1000</f>
        <v>2544</v>
      </c>
      <c r="G11" s="21">
        <f>INDEX('From Fiscal forecasts'!$E:$L,Allocations!$A11,MATCH(Allocations!G$8,'From Fiscal forecasts'!$E$7:$L$7,0))*1000</f>
        <v>2941</v>
      </c>
      <c r="H11" s="21">
        <f>INDEX('From Fiscal forecasts'!$E:$L,Allocations!$A11,MATCH(Allocations!H$8,'From Fiscal forecasts'!$E$7:$L$7,0))*1000</f>
        <v>2817</v>
      </c>
      <c r="I11" s="21">
        <f>INDEX('From Fiscal forecasts'!$E:$L,Allocations!$A11,MATCH(Allocations!I$8,'From Fiscal forecasts'!$E$7:$L$7,0))*1000</f>
        <v>2804</v>
      </c>
      <c r="J11" s="21">
        <f>INDEX('From Fiscal forecasts'!$E:$L,Allocations!$A11,MATCH(Allocations!J$8,'From Fiscal forecasts'!$E$7:$L$7,0))*1000</f>
        <v>2789</v>
      </c>
      <c r="K11" s="21">
        <f>INDEX('From Fiscal forecasts'!$E:$L,Allocations!$A11,MATCH(Allocations!K$8,'From Fiscal forecasts'!$E$7:$L$7,0))*1000</f>
        <v>2730</v>
      </c>
      <c r="L11" s="138" t="s">
        <v>121</v>
      </c>
      <c r="M11" s="174">
        <f>VLOOKUP($L11,'From allocate tab'!$A:$G,M$7,0)</f>
        <v>0.05</v>
      </c>
      <c r="N11" s="152">
        <f>VLOOKUP($L11,'From allocate tab'!$A:$G,N$7,0)</f>
        <v>-5.8999999999999997E-2</v>
      </c>
      <c r="O11" s="152">
        <f>VLOOKUP($L11,'From allocate tab'!$A:$G,O$7,0)</f>
        <v>9.9000000000000005E-2</v>
      </c>
      <c r="P11" s="152">
        <f>VLOOKUP($L11,'From allocate tab'!$A:$G,P$7,0)</f>
        <v>0.19600000000000001</v>
      </c>
      <c r="Q11" s="152">
        <f>VLOOKUP($L11,'From allocate tab'!$A:$G,Q$7,0)</f>
        <v>0.28799999999999998</v>
      </c>
      <c r="R11" s="152">
        <f>VLOOKUP($L11,'From allocate tab'!$A:$G,R$7,0)</f>
        <v>0.375</v>
      </c>
      <c r="S11" s="24" t="s">
        <v>121</v>
      </c>
      <c r="T11" s="163">
        <f t="shared" si="3"/>
        <v>2228</v>
      </c>
      <c r="U11" s="163">
        <f t="shared" si="4"/>
        <v>2107</v>
      </c>
      <c r="V11" s="163">
        <f t="shared" si="5"/>
        <v>2544</v>
      </c>
      <c r="W11" s="144">
        <f t="shared" si="6"/>
        <v>2882</v>
      </c>
      <c r="X11" s="144">
        <f t="shared" si="7"/>
        <v>2916</v>
      </c>
      <c r="Y11" s="144">
        <f t="shared" si="8"/>
        <v>3000</v>
      </c>
      <c r="Z11" s="144">
        <f t="shared" si="9"/>
        <v>3077</v>
      </c>
      <c r="AA11" s="144">
        <f t="shared" si="10"/>
        <v>3105</v>
      </c>
    </row>
    <row r="12" spans="1:28" x14ac:dyDescent="0.25">
      <c r="A12" s="164">
        <v>56</v>
      </c>
      <c r="B12" s="164" t="s">
        <v>28</v>
      </c>
      <c r="C12" s="24" t="s">
        <v>28</v>
      </c>
      <c r="D12" s="21">
        <f>INDEX('From Fiscal forecasts'!$E:$L,Allocations!$A12,MATCH(Allocations!D$8,'From Fiscal forecasts'!$E$7:$L$7,0))*1000</f>
        <v>12879</v>
      </c>
      <c r="E12" s="21">
        <f>INDEX('From Fiscal forecasts'!$E:$L,Allocations!$A12,MATCH(Allocations!E$8,'From Fiscal forecasts'!$E$7:$L$7,0))*1000</f>
        <v>13158</v>
      </c>
      <c r="F12" s="21">
        <f>INDEX('From Fiscal forecasts'!$E:$L,Allocations!$A12,MATCH(Allocations!F$8,'From Fiscal forecasts'!$E$7:$L$7,0))*1000</f>
        <v>13281</v>
      </c>
      <c r="G12" s="21">
        <f>INDEX('From Fiscal forecasts'!$E:$L,Allocations!$A12,MATCH(Allocations!G$8,'From Fiscal forecasts'!$E$7:$L$7,0))*1000</f>
        <v>14397</v>
      </c>
      <c r="H12" s="21">
        <f>INDEX('From Fiscal forecasts'!$E:$L,Allocations!$A12,MATCH(Allocations!H$8,'From Fiscal forecasts'!$E$7:$L$7,0))*1000</f>
        <v>14641</v>
      </c>
      <c r="I12" s="21">
        <f>INDEX('From Fiscal forecasts'!$E:$L,Allocations!$A12,MATCH(Allocations!I$8,'From Fiscal forecasts'!$E$7:$L$7,0))*1000</f>
        <v>14807</v>
      </c>
      <c r="J12" s="21">
        <f>INDEX('From Fiscal forecasts'!$E:$L,Allocations!$A12,MATCH(Allocations!J$8,'From Fiscal forecasts'!$E$7:$L$7,0))*1000</f>
        <v>15092</v>
      </c>
      <c r="K12" s="21">
        <f>INDEX('From Fiscal forecasts'!$E:$L,Allocations!$A12,MATCH(Allocations!K$8,'From Fiscal forecasts'!$E$7:$L$7,0))*1000</f>
        <v>15151</v>
      </c>
      <c r="L12" s="138" t="s">
        <v>28</v>
      </c>
      <c r="M12" s="174">
        <f>VLOOKUP($L12,'From allocate tab'!$A:$G,M$7,0)</f>
        <v>0.29499999999999998</v>
      </c>
      <c r="N12" s="152">
        <f>VLOOKUP($L12,'From allocate tab'!$A:$G,N$7,0)</f>
        <v>-0.35</v>
      </c>
      <c r="O12" s="152">
        <f>VLOOKUP($L12,'From allocate tab'!$A:$G,O$7,0)</f>
        <v>0.58099999999999996</v>
      </c>
      <c r="P12" s="152">
        <f>VLOOKUP($L12,'From allocate tab'!$A:$G,P$7,0)</f>
        <v>1.157</v>
      </c>
      <c r="Q12" s="152">
        <f>VLOOKUP($L12,'From allocate tab'!$A:$G,Q$7,0)</f>
        <v>1.7</v>
      </c>
      <c r="R12" s="152">
        <f>VLOOKUP($L12,'From allocate tab'!$A:$G,R$7,0)</f>
        <v>2.2149999999999999</v>
      </c>
      <c r="S12" s="24" t="s">
        <v>28</v>
      </c>
      <c r="T12" s="163">
        <f t="shared" si="3"/>
        <v>12879</v>
      </c>
      <c r="U12" s="163">
        <f t="shared" si="4"/>
        <v>13158</v>
      </c>
      <c r="V12" s="163">
        <f t="shared" si="5"/>
        <v>13281</v>
      </c>
      <c r="W12" s="144">
        <f t="shared" si="6"/>
        <v>14047</v>
      </c>
      <c r="X12" s="144">
        <f t="shared" si="7"/>
        <v>15222</v>
      </c>
      <c r="Y12" s="144">
        <f t="shared" si="8"/>
        <v>15964</v>
      </c>
      <c r="Z12" s="144">
        <f t="shared" si="9"/>
        <v>16792</v>
      </c>
      <c r="AA12" s="144">
        <f t="shared" si="10"/>
        <v>17366</v>
      </c>
    </row>
    <row r="13" spans="1:28" x14ac:dyDescent="0.25">
      <c r="A13" s="164">
        <v>65</v>
      </c>
      <c r="B13" s="164" t="s">
        <v>146</v>
      </c>
      <c r="C13" s="24" t="s">
        <v>122</v>
      </c>
      <c r="D13" s="21">
        <f>INDEX('From Fiscal forecasts'!$E:$L,Allocations!$A13,MATCH(Allocations!D$8,'From Fiscal forecasts'!$E$7:$L$7,0))*1000</f>
        <v>723</v>
      </c>
      <c r="E13" s="21">
        <f>INDEX('From Fiscal forecasts'!$E:$L,Allocations!$A13,MATCH(Allocations!E$8,'From Fiscal forecasts'!$E$7:$L$7,0))*1000</f>
        <v>587</v>
      </c>
      <c r="F13" s="21">
        <f>INDEX('From Fiscal forecasts'!$E:$L,Allocations!$A13,MATCH(Allocations!F$8,'From Fiscal forecasts'!$E$7:$L$7,0))*1000</f>
        <v>871</v>
      </c>
      <c r="G13" s="21">
        <f>INDEX('From Fiscal forecasts'!$E:$L,Allocations!$A13,MATCH(Allocations!G$8,'From Fiscal forecasts'!$E$7:$L$7,0))*1000</f>
        <v>1291</v>
      </c>
      <c r="H13" s="21">
        <f>INDEX('From Fiscal forecasts'!$E:$L,Allocations!$A13,MATCH(Allocations!H$8,'From Fiscal forecasts'!$E$7:$L$7,0))*1000</f>
        <v>989</v>
      </c>
      <c r="I13" s="21">
        <f>INDEX('From Fiscal forecasts'!$E:$L,Allocations!$A13,MATCH(Allocations!I$8,'From Fiscal forecasts'!$E$7:$L$7,0))*1000</f>
        <v>1022</v>
      </c>
      <c r="J13" s="21">
        <f>INDEX('From Fiscal forecasts'!$E:$L,Allocations!$A13,MATCH(Allocations!J$8,'From Fiscal forecasts'!$E$7:$L$7,0))*1000</f>
        <v>1043</v>
      </c>
      <c r="K13" s="21">
        <f>INDEX('From Fiscal forecasts'!$E:$L,Allocations!$A13,MATCH(Allocations!K$8,'From Fiscal forecasts'!$E$7:$L$7,0))*1000</f>
        <v>1043</v>
      </c>
      <c r="L13" s="138" t="s">
        <v>146</v>
      </c>
      <c r="M13" s="174">
        <f>VLOOKUP($L13,'From allocate tab'!$A:$G,M$7,0)</f>
        <v>1.4999999999999999E-2</v>
      </c>
      <c r="N13" s="152">
        <f>VLOOKUP($L13,'From allocate tab'!$A:$G,N$7,0)</f>
        <v>-1.7999999999999999E-2</v>
      </c>
      <c r="O13" s="152">
        <f>VLOOKUP($L13,'From allocate tab'!$A:$G,O$7,0)</f>
        <v>0.03</v>
      </c>
      <c r="P13" s="152">
        <f>VLOOKUP($L13,'From allocate tab'!$A:$G,P$7,0)</f>
        <v>5.8999999999999997E-2</v>
      </c>
      <c r="Q13" s="152">
        <f>VLOOKUP($L13,'From allocate tab'!$A:$G,Q$7,0)</f>
        <v>8.5999999999999993E-2</v>
      </c>
      <c r="R13" s="152">
        <f>VLOOKUP($L13,'From allocate tab'!$A:$G,R$7,0)</f>
        <v>0.113</v>
      </c>
      <c r="S13" s="24" t="s">
        <v>122</v>
      </c>
      <c r="T13" s="163">
        <f t="shared" si="3"/>
        <v>723</v>
      </c>
      <c r="U13" s="163">
        <f t="shared" si="4"/>
        <v>587</v>
      </c>
      <c r="V13" s="163">
        <f t="shared" si="5"/>
        <v>871</v>
      </c>
      <c r="W13" s="144">
        <f t="shared" si="6"/>
        <v>1273</v>
      </c>
      <c r="X13" s="144">
        <f t="shared" si="7"/>
        <v>1019</v>
      </c>
      <c r="Y13" s="144">
        <f t="shared" si="8"/>
        <v>1081</v>
      </c>
      <c r="Z13" s="144">
        <f t="shared" si="9"/>
        <v>1129</v>
      </c>
      <c r="AA13" s="144">
        <f t="shared" si="10"/>
        <v>1156</v>
      </c>
    </row>
    <row r="14" spans="1:28" x14ac:dyDescent="0.25">
      <c r="A14" s="164">
        <v>67</v>
      </c>
      <c r="B14" s="164" t="s">
        <v>29</v>
      </c>
      <c r="C14" s="24" t="s">
        <v>29</v>
      </c>
      <c r="D14" s="21">
        <f>INDEX('From Fiscal forecasts'!$E:$L,Allocations!$A14,MATCH(Allocations!D$8,'From Fiscal forecasts'!$E$7:$L$7,0))*1000</f>
        <v>3783</v>
      </c>
      <c r="E14" s="21">
        <f>INDEX('From Fiscal forecasts'!$E:$L,Allocations!$A14,MATCH(Allocations!E$8,'From Fiscal forecasts'!$E$7:$L$7,0))*1000</f>
        <v>3590</v>
      </c>
      <c r="F14" s="21">
        <f>INDEX('From Fiscal forecasts'!$E:$L,Allocations!$A14,MATCH(Allocations!F$8,'From Fiscal forecasts'!$E$7:$L$7,0))*1000</f>
        <v>3534</v>
      </c>
      <c r="G14" s="21">
        <f>INDEX('From Fiscal forecasts'!$E:$L,Allocations!$A14,MATCH(Allocations!G$8,'From Fiscal forecasts'!$E$7:$L$7,0))*1000</f>
        <v>3513</v>
      </c>
      <c r="H14" s="21">
        <f>INDEX('From Fiscal forecasts'!$E:$L,Allocations!$A14,MATCH(Allocations!H$8,'From Fiscal forecasts'!$E$7:$L$7,0))*1000</f>
        <v>3460</v>
      </c>
      <c r="I14" s="21">
        <f>INDEX('From Fiscal forecasts'!$E:$L,Allocations!$A14,MATCH(Allocations!I$8,'From Fiscal forecasts'!$E$7:$L$7,0))*1000</f>
        <v>3452</v>
      </c>
      <c r="J14" s="21">
        <f>INDEX('From Fiscal forecasts'!$E:$L,Allocations!$A14,MATCH(Allocations!J$8,'From Fiscal forecasts'!$E$7:$L$7,0))*1000</f>
        <v>3508</v>
      </c>
      <c r="K14" s="21">
        <f>INDEX('From Fiscal forecasts'!$E:$L,Allocations!$A14,MATCH(Allocations!K$8,'From Fiscal forecasts'!$E$7:$L$7,0))*1000</f>
        <v>3304</v>
      </c>
      <c r="L14" s="121"/>
      <c r="M14" s="121"/>
      <c r="N14" s="121"/>
      <c r="O14" s="121"/>
      <c r="P14" s="121"/>
      <c r="Q14" s="121"/>
      <c r="R14" s="121"/>
      <c r="S14" s="24" t="s">
        <v>29</v>
      </c>
      <c r="T14" s="163">
        <f t="shared" si="3"/>
        <v>3783</v>
      </c>
      <c r="U14" s="163">
        <f t="shared" si="4"/>
        <v>3590</v>
      </c>
      <c r="V14" s="163">
        <f t="shared" si="5"/>
        <v>3534</v>
      </c>
      <c r="W14" s="144">
        <f t="shared" si="6"/>
        <v>3513</v>
      </c>
      <c r="X14" s="144">
        <f t="shared" si="7"/>
        <v>3460</v>
      </c>
      <c r="Y14" s="144">
        <f t="shared" si="8"/>
        <v>3452</v>
      </c>
      <c r="Z14" s="144">
        <f t="shared" si="9"/>
        <v>3508</v>
      </c>
      <c r="AA14" s="144">
        <f t="shared" si="10"/>
        <v>3304</v>
      </c>
    </row>
    <row r="15" spans="1:28" x14ac:dyDescent="0.25">
      <c r="A15" s="164">
        <v>54</v>
      </c>
      <c r="B15" s="164" t="s">
        <v>199</v>
      </c>
      <c r="C15" s="24" t="s">
        <v>123</v>
      </c>
      <c r="D15" s="21">
        <f>INDEX('From Fiscal forecasts'!$E:$L,Allocations!$A15,MATCH(Allocations!D$8,'From Fiscal forecasts'!$E$7:$L$7,0))*1000</f>
        <v>358</v>
      </c>
      <c r="E15" s="21">
        <f>INDEX('From Fiscal forecasts'!$E:$L,Allocations!$A15,MATCH(Allocations!E$8,'From Fiscal forecasts'!$E$7:$L$7,0))*1000</f>
        <v>271</v>
      </c>
      <c r="F15" s="21">
        <f>INDEX('From Fiscal forecasts'!$E:$L,Allocations!$A15,MATCH(Allocations!F$8,'From Fiscal forecasts'!$E$7:$L$7,0))*1000</f>
        <v>217</v>
      </c>
      <c r="G15" s="21">
        <f>INDEX('From Fiscal forecasts'!$E:$L,Allocations!$A15,MATCH(Allocations!G$8,'From Fiscal forecasts'!$E$7:$L$7,0))*1000</f>
        <v>150</v>
      </c>
      <c r="H15" s="21">
        <f>INDEX('From Fiscal forecasts'!$E:$L,Allocations!$A15,MATCH(Allocations!H$8,'From Fiscal forecasts'!$E$7:$L$7,0))*1000</f>
        <v>149</v>
      </c>
      <c r="I15" s="21">
        <f>INDEX('From Fiscal forecasts'!$E:$L,Allocations!$A15,MATCH(Allocations!I$8,'From Fiscal forecasts'!$E$7:$L$7,0))*1000</f>
        <v>179</v>
      </c>
      <c r="J15" s="21">
        <f>INDEX('From Fiscal forecasts'!$E:$L,Allocations!$A15,MATCH(Allocations!J$8,'From Fiscal forecasts'!$E$7:$L$7,0))*1000</f>
        <v>211</v>
      </c>
      <c r="K15" s="21">
        <f>INDEX('From Fiscal forecasts'!$E:$L,Allocations!$A15,MATCH(Allocations!K$8,'From Fiscal forecasts'!$E$7:$L$7,0))*1000</f>
        <v>234</v>
      </c>
      <c r="L15" s="121"/>
      <c r="M15" s="121"/>
      <c r="N15" s="121"/>
      <c r="O15" s="121"/>
      <c r="P15" s="121"/>
      <c r="Q15" s="121"/>
      <c r="R15" s="121"/>
      <c r="S15" s="24" t="s">
        <v>123</v>
      </c>
      <c r="T15" s="163">
        <f t="shared" si="3"/>
        <v>358</v>
      </c>
      <c r="U15" s="163">
        <f t="shared" si="4"/>
        <v>271</v>
      </c>
      <c r="V15" s="163">
        <f t="shared" si="5"/>
        <v>217</v>
      </c>
      <c r="W15" s="144">
        <f t="shared" si="6"/>
        <v>150</v>
      </c>
      <c r="X15" s="144">
        <f t="shared" si="7"/>
        <v>149</v>
      </c>
      <c r="Y15" s="144">
        <f t="shared" si="8"/>
        <v>179</v>
      </c>
      <c r="Z15" s="144">
        <f t="shared" si="9"/>
        <v>211</v>
      </c>
      <c r="AA15" s="144">
        <f t="shared" si="10"/>
        <v>234</v>
      </c>
    </row>
    <row r="16" spans="1:28" x14ac:dyDescent="0.25">
      <c r="A16" s="164">
        <v>55</v>
      </c>
      <c r="B16" s="164" t="s">
        <v>30</v>
      </c>
      <c r="C16" s="24" t="s">
        <v>30</v>
      </c>
      <c r="D16" s="21">
        <f>INDEX('From Fiscal forecasts'!$E:$L,Allocations!$A16,MATCH(Allocations!D$8,'From Fiscal forecasts'!$E$7:$L$7,0))*1000</f>
        <v>15058</v>
      </c>
      <c r="E16" s="21">
        <f>INDEX('From Fiscal forecasts'!$E:$L,Allocations!$A16,MATCH(Allocations!E$8,'From Fiscal forecasts'!$E$7:$L$7,0))*1000</f>
        <v>15626</v>
      </c>
      <c r="F16" s="21">
        <f>INDEX('From Fiscal forecasts'!$E:$L,Allocations!$A16,MATCH(Allocations!F$8,'From Fiscal forecasts'!$E$7:$L$7,0))*1000</f>
        <v>16222.999999999998</v>
      </c>
      <c r="G16" s="21">
        <f>INDEX('From Fiscal forecasts'!$E:$L,Allocations!$A16,MATCH(Allocations!G$8,'From Fiscal forecasts'!$E$7:$L$7,0))*1000</f>
        <v>17184</v>
      </c>
      <c r="H16" s="21">
        <f>INDEX('From Fiscal forecasts'!$E:$L,Allocations!$A16,MATCH(Allocations!H$8,'From Fiscal forecasts'!$E$7:$L$7,0))*1000</f>
        <v>17250</v>
      </c>
      <c r="I16" s="21">
        <f>INDEX('From Fiscal forecasts'!$E:$L,Allocations!$A16,MATCH(Allocations!I$8,'From Fiscal forecasts'!$E$7:$L$7,0))*1000</f>
        <v>17257</v>
      </c>
      <c r="J16" s="21">
        <f>INDEX('From Fiscal forecasts'!$E:$L,Allocations!$A16,MATCH(Allocations!J$8,'From Fiscal forecasts'!$E$7:$L$7,0))*1000</f>
        <v>17213</v>
      </c>
      <c r="K16" s="21">
        <f>INDEX('From Fiscal forecasts'!$E:$L,Allocations!$A16,MATCH(Allocations!K$8,'From Fiscal forecasts'!$E$7:$L$7,0))*1000</f>
        <v>17334</v>
      </c>
      <c r="L16" s="138" t="s">
        <v>30</v>
      </c>
      <c r="M16" s="174">
        <f>VLOOKUP($L16,'From allocate tab'!$A:$G,M$7,0)</f>
        <v>0.34499999999999997</v>
      </c>
      <c r="N16" s="169">
        <f>VLOOKUP($L16,'From allocate tab'!$A:$G,N$7,0)</f>
        <v>-0.40799999999999997</v>
      </c>
      <c r="O16" s="169">
        <f>VLOOKUP($L16,'From allocate tab'!$A:$G,O$7,0)</f>
        <v>0.67900000000000005</v>
      </c>
      <c r="P16" s="169">
        <f>VLOOKUP($L16,'From allocate tab'!$A:$G,P$7,0)</f>
        <v>1.353</v>
      </c>
      <c r="Q16" s="169">
        <f>VLOOKUP($L16,'From allocate tab'!$A:$G,Q$7,0)</f>
        <v>1.9910000000000001</v>
      </c>
      <c r="R16" s="169">
        <f>VLOOKUP($L16,'From allocate tab'!$A:$G,R$7,0)</f>
        <v>2.5900000000000003</v>
      </c>
      <c r="S16" s="24" t="s">
        <v>30</v>
      </c>
      <c r="T16" s="163">
        <f t="shared" si="3"/>
        <v>15058</v>
      </c>
      <c r="U16" s="163">
        <f t="shared" si="4"/>
        <v>15626</v>
      </c>
      <c r="V16" s="163">
        <f t="shared" si="5"/>
        <v>16222.999999999998</v>
      </c>
      <c r="W16" s="144">
        <f t="shared" si="6"/>
        <v>16776</v>
      </c>
      <c r="X16" s="144">
        <f t="shared" si="7"/>
        <v>17929</v>
      </c>
      <c r="Y16" s="144">
        <f t="shared" si="8"/>
        <v>18610</v>
      </c>
      <c r="Z16" s="144">
        <f t="shared" si="9"/>
        <v>19204</v>
      </c>
      <c r="AA16" s="144">
        <f t="shared" si="10"/>
        <v>19924</v>
      </c>
    </row>
    <row r="17" spans="1:27" x14ac:dyDescent="0.25">
      <c r="A17" s="164">
        <v>62</v>
      </c>
      <c r="B17" s="164" t="s">
        <v>125</v>
      </c>
      <c r="C17" s="24" t="s">
        <v>125</v>
      </c>
      <c r="D17" s="21">
        <f>INDEX('From Fiscal forecasts'!$E:$L,Allocations!$A17,MATCH(Allocations!D$8,'From Fiscal forecasts'!$E$7:$L$7,0))*1000</f>
        <v>778</v>
      </c>
      <c r="E17" s="21">
        <f>INDEX('From Fiscal forecasts'!$E:$L,Allocations!$A17,MATCH(Allocations!E$8,'From Fiscal forecasts'!$E$7:$L$7,0))*1000</f>
        <v>787</v>
      </c>
      <c r="F17" s="21">
        <f>INDEX('From Fiscal forecasts'!$E:$L,Allocations!$A17,MATCH(Allocations!F$8,'From Fiscal forecasts'!$E$7:$L$7,0))*1000</f>
        <v>850</v>
      </c>
      <c r="G17" s="21">
        <f>INDEX('From Fiscal forecasts'!$E:$L,Allocations!$A17,MATCH(Allocations!G$8,'From Fiscal forecasts'!$E$7:$L$7,0))*1000</f>
        <v>879</v>
      </c>
      <c r="H17" s="21">
        <f>INDEX('From Fiscal forecasts'!$E:$L,Allocations!$A17,MATCH(Allocations!H$8,'From Fiscal forecasts'!$E$7:$L$7,0))*1000</f>
        <v>880</v>
      </c>
      <c r="I17" s="21">
        <f>INDEX('From Fiscal forecasts'!$E:$L,Allocations!$A17,MATCH(Allocations!I$8,'From Fiscal forecasts'!$E$7:$L$7,0))*1000</f>
        <v>840</v>
      </c>
      <c r="J17" s="21">
        <f>INDEX('From Fiscal forecasts'!$E:$L,Allocations!$A17,MATCH(Allocations!J$8,'From Fiscal forecasts'!$E$7:$L$7,0))*1000</f>
        <v>811</v>
      </c>
      <c r="K17" s="21">
        <f>INDEX('From Fiscal forecasts'!$E:$L,Allocations!$A17,MATCH(Allocations!K$8,'From Fiscal forecasts'!$E$7:$L$7,0))*1000</f>
        <v>824</v>
      </c>
      <c r="L17" s="138" t="s">
        <v>125</v>
      </c>
      <c r="M17" s="174">
        <f>VLOOKUP($L17,'From allocate tab'!$A:$G,M$7,0)</f>
        <v>0.02</v>
      </c>
      <c r="N17" s="169">
        <f>VLOOKUP($L17,'From allocate tab'!$A:$G,N$7,0)</f>
        <v>-2.4E-2</v>
      </c>
      <c r="O17" s="169">
        <f>VLOOKUP($L17,'From allocate tab'!$A:$G,O$7,0)</f>
        <v>3.9E-2</v>
      </c>
      <c r="P17" s="169">
        <f>VLOOKUP($L17,'From allocate tab'!$A:$G,P$7,0)</f>
        <v>7.8E-2</v>
      </c>
      <c r="Q17" s="169">
        <f>VLOOKUP($L17,'From allocate tab'!$A:$G,Q$7,0)</f>
        <v>0.115</v>
      </c>
      <c r="R17" s="169">
        <f>VLOOKUP($L17,'From allocate tab'!$A:$G,R$7,0)</f>
        <v>0.15</v>
      </c>
      <c r="S17" s="24" t="s">
        <v>125</v>
      </c>
      <c r="T17" s="163">
        <f t="shared" si="3"/>
        <v>778</v>
      </c>
      <c r="U17" s="163">
        <f t="shared" si="4"/>
        <v>787</v>
      </c>
      <c r="V17" s="163">
        <f t="shared" si="5"/>
        <v>850</v>
      </c>
      <c r="W17" s="144">
        <f t="shared" si="6"/>
        <v>855</v>
      </c>
      <c r="X17" s="144">
        <f t="shared" si="7"/>
        <v>919</v>
      </c>
      <c r="Y17" s="144">
        <f t="shared" si="8"/>
        <v>918</v>
      </c>
      <c r="Z17" s="144">
        <f t="shared" si="9"/>
        <v>926</v>
      </c>
      <c r="AA17" s="144">
        <f t="shared" si="10"/>
        <v>974</v>
      </c>
    </row>
    <row r="18" spans="1:27" x14ac:dyDescent="0.25">
      <c r="A18" s="164">
        <v>64</v>
      </c>
      <c r="B18" s="164" t="s">
        <v>126</v>
      </c>
      <c r="C18" s="24" t="s">
        <v>126</v>
      </c>
      <c r="D18" s="21">
        <f>INDEX('From Fiscal forecasts'!$E:$L,Allocations!$A18,MATCH(Allocations!D$8,'From Fiscal forecasts'!$E$7:$L$7,0))*1000</f>
        <v>320</v>
      </c>
      <c r="E18" s="21">
        <f>INDEX('From Fiscal forecasts'!$E:$L,Allocations!$A18,MATCH(Allocations!E$8,'From Fiscal forecasts'!$E$7:$L$7,0))*1000</f>
        <v>558</v>
      </c>
      <c r="F18" s="21">
        <f>INDEX('From Fiscal forecasts'!$E:$L,Allocations!$A18,MATCH(Allocations!F$8,'From Fiscal forecasts'!$E$7:$L$7,0))*1000</f>
        <v>539</v>
      </c>
      <c r="G18" s="21">
        <f>INDEX('From Fiscal forecasts'!$E:$L,Allocations!$A18,MATCH(Allocations!G$8,'From Fiscal forecasts'!$E$7:$L$7,0))*1000</f>
        <v>662</v>
      </c>
      <c r="H18" s="21">
        <f>INDEX('From Fiscal forecasts'!$E:$L,Allocations!$A18,MATCH(Allocations!H$8,'From Fiscal forecasts'!$E$7:$L$7,0))*1000</f>
        <v>622</v>
      </c>
      <c r="I18" s="21">
        <f>INDEX('From Fiscal forecasts'!$E:$L,Allocations!$A18,MATCH(Allocations!I$8,'From Fiscal forecasts'!$E$7:$L$7,0))*1000</f>
        <v>548</v>
      </c>
      <c r="J18" s="21">
        <f>INDEX('From Fiscal forecasts'!$E:$L,Allocations!$A18,MATCH(Allocations!J$8,'From Fiscal forecasts'!$E$7:$L$7,0))*1000</f>
        <v>515</v>
      </c>
      <c r="K18" s="21">
        <f>INDEX('From Fiscal forecasts'!$E:$L,Allocations!$A18,MATCH(Allocations!K$8,'From Fiscal forecasts'!$E$7:$L$7,0))*1000</f>
        <v>511</v>
      </c>
      <c r="L18" s="138" t="s">
        <v>126</v>
      </c>
      <c r="M18" s="174">
        <f>VLOOKUP($L18,'From allocate tab'!$A:$G,M$7,0)</f>
        <v>0.01</v>
      </c>
      <c r="N18" s="169">
        <f>VLOOKUP($L18,'From allocate tab'!$A:$G,N$7,0)</f>
        <v>-1.2E-2</v>
      </c>
      <c r="O18" s="169">
        <f>VLOOKUP($L18,'From allocate tab'!$A:$G,O$7,0)</f>
        <v>0.02</v>
      </c>
      <c r="P18" s="169">
        <f>VLOOKUP($L18,'From allocate tab'!$A:$G,P$7,0)</f>
        <v>3.9E-2</v>
      </c>
      <c r="Q18" s="169">
        <f>VLOOKUP($L18,'From allocate tab'!$A:$G,Q$7,0)</f>
        <v>5.8000000000000003E-2</v>
      </c>
      <c r="R18" s="169">
        <f>VLOOKUP($L18,'From allocate tab'!$A:$G,R$7,0)</f>
        <v>7.4999999999999997E-2</v>
      </c>
      <c r="S18" s="24" t="s">
        <v>126</v>
      </c>
      <c r="T18" s="163">
        <f t="shared" si="3"/>
        <v>320</v>
      </c>
      <c r="U18" s="163">
        <f t="shared" si="4"/>
        <v>558</v>
      </c>
      <c r="V18" s="163">
        <f t="shared" si="5"/>
        <v>539</v>
      </c>
      <c r="W18" s="144">
        <f t="shared" si="6"/>
        <v>650</v>
      </c>
      <c r="X18" s="144">
        <f t="shared" si="7"/>
        <v>642</v>
      </c>
      <c r="Y18" s="144">
        <f t="shared" si="8"/>
        <v>587</v>
      </c>
      <c r="Z18" s="144">
        <f t="shared" si="9"/>
        <v>573</v>
      </c>
      <c r="AA18" s="144">
        <f t="shared" si="10"/>
        <v>586</v>
      </c>
    </row>
    <row r="19" spans="1:27" x14ac:dyDescent="0.25">
      <c r="A19" s="164">
        <v>58</v>
      </c>
      <c r="B19" s="164" t="s">
        <v>31</v>
      </c>
      <c r="C19" s="24" t="s">
        <v>31</v>
      </c>
      <c r="D19" s="21">
        <f>INDEX('From Fiscal forecasts'!$E:$L,Allocations!$A19,MATCH(Allocations!D$8,'From Fiscal forecasts'!$E$7:$L$7,0))*1000</f>
        <v>3515</v>
      </c>
      <c r="E19" s="21">
        <f>INDEX('From Fiscal forecasts'!$E:$L,Allocations!$A19,MATCH(Allocations!E$8,'From Fiscal forecasts'!$E$7:$L$7,0))*1000</f>
        <v>3648</v>
      </c>
      <c r="F19" s="21">
        <f>INDEX('From Fiscal forecasts'!$E:$L,Allocations!$A19,MATCH(Allocations!F$8,'From Fiscal forecasts'!$E$7:$L$7,0))*1000</f>
        <v>3882</v>
      </c>
      <c r="G19" s="21">
        <f>INDEX('From Fiscal forecasts'!$E:$L,Allocations!$A19,MATCH(Allocations!G$8,'From Fiscal forecasts'!$E$7:$L$7,0))*1000</f>
        <v>4146</v>
      </c>
      <c r="H19" s="21">
        <f>INDEX('From Fiscal forecasts'!$E:$L,Allocations!$A19,MATCH(Allocations!H$8,'From Fiscal forecasts'!$E$7:$L$7,0))*1000</f>
        <v>4170</v>
      </c>
      <c r="I19" s="21">
        <f>INDEX('From Fiscal forecasts'!$E:$L,Allocations!$A19,MATCH(Allocations!I$8,'From Fiscal forecasts'!$E$7:$L$7,0))*1000</f>
        <v>4208</v>
      </c>
      <c r="J19" s="21">
        <f>INDEX('From Fiscal forecasts'!$E:$L,Allocations!$A19,MATCH(Allocations!J$8,'From Fiscal forecasts'!$E$7:$L$7,0))*1000</f>
        <v>4244</v>
      </c>
      <c r="K19" s="21">
        <f>INDEX('From Fiscal forecasts'!$E:$L,Allocations!$A19,MATCH(Allocations!K$8,'From Fiscal forecasts'!$E$7:$L$7,0))*1000</f>
        <v>4265</v>
      </c>
      <c r="L19" s="138" t="s">
        <v>31</v>
      </c>
      <c r="M19" s="174">
        <f>VLOOKUP($L19,'From allocate tab'!$A:$G,M$7,0)</f>
        <v>0.08</v>
      </c>
      <c r="N19" s="169">
        <f>VLOOKUP($L19,'From allocate tab'!$A:$G,N$7,0)</f>
        <v>-9.5000000000000001E-2</v>
      </c>
      <c r="O19" s="169">
        <f>VLOOKUP($L19,'From allocate tab'!$A:$G,O$7,0)</f>
        <v>0.158</v>
      </c>
      <c r="P19" s="169">
        <f>VLOOKUP($L19,'From allocate tab'!$A:$G,P$7,0)</f>
        <v>0.314</v>
      </c>
      <c r="Q19" s="169">
        <f>VLOOKUP($L19,'From allocate tab'!$A:$G,Q$7,0)</f>
        <v>0.46100000000000002</v>
      </c>
      <c r="R19" s="169">
        <f>VLOOKUP($L19,'From allocate tab'!$A:$G,R$7,0)</f>
        <v>0.60099999999999998</v>
      </c>
      <c r="S19" s="24" t="s">
        <v>31</v>
      </c>
      <c r="T19" s="163">
        <f t="shared" si="3"/>
        <v>3515</v>
      </c>
      <c r="U19" s="163">
        <f t="shared" si="4"/>
        <v>3648</v>
      </c>
      <c r="V19" s="163">
        <f t="shared" si="5"/>
        <v>3882</v>
      </c>
      <c r="W19" s="144">
        <f t="shared" si="6"/>
        <v>4051</v>
      </c>
      <c r="X19" s="144">
        <f t="shared" si="7"/>
        <v>4328</v>
      </c>
      <c r="Y19" s="144">
        <f t="shared" si="8"/>
        <v>4522</v>
      </c>
      <c r="Z19" s="144">
        <f t="shared" si="9"/>
        <v>4705</v>
      </c>
      <c r="AA19" s="144">
        <f t="shared" si="10"/>
        <v>4866</v>
      </c>
    </row>
    <row r="20" spans="1:27" x14ac:dyDescent="0.25">
      <c r="C20" s="24" t="s">
        <v>127</v>
      </c>
      <c r="D20" s="26"/>
      <c r="E20" s="28"/>
      <c r="F20" s="28"/>
      <c r="G20" s="28"/>
      <c r="H20" s="28"/>
      <c r="I20" s="28"/>
      <c r="J20" s="28"/>
      <c r="K20" s="28"/>
      <c r="L20" s="121"/>
      <c r="M20" s="121"/>
      <c r="N20" s="121"/>
      <c r="O20" s="121"/>
      <c r="P20" s="121"/>
      <c r="Q20" s="121"/>
      <c r="R20" s="121"/>
      <c r="S20" s="24" t="s">
        <v>127</v>
      </c>
      <c r="T20" s="163">
        <f t="shared" si="3"/>
        <v>0</v>
      </c>
      <c r="U20" s="163">
        <f t="shared" si="4"/>
        <v>0</v>
      </c>
      <c r="V20" s="163">
        <f t="shared" si="5"/>
        <v>0</v>
      </c>
      <c r="W20" s="144">
        <f t="shared" si="6"/>
        <v>0</v>
      </c>
      <c r="X20" s="144">
        <f t="shared" si="7"/>
        <v>0</v>
      </c>
      <c r="Y20" s="144">
        <f t="shared" si="8"/>
        <v>0</v>
      </c>
      <c r="Z20" s="144">
        <f t="shared" si="9"/>
        <v>0</v>
      </c>
      <c r="AA20" s="144">
        <f t="shared" si="10"/>
        <v>0</v>
      </c>
    </row>
    <row r="21" spans="1:27" x14ac:dyDescent="0.25">
      <c r="A21" s="164">
        <v>66</v>
      </c>
      <c r="B21" s="164" t="s">
        <v>129</v>
      </c>
      <c r="C21" s="24" t="s">
        <v>129</v>
      </c>
      <c r="D21" s="21">
        <f>INDEX('From Fiscal forecasts'!$E:$L,Allocations!$A21,MATCH(Allocations!D$8,'From Fiscal forecasts'!$E$7:$L$7,0))*1000</f>
        <v>145</v>
      </c>
      <c r="E21" s="21">
        <f>INDEX('From Fiscal forecasts'!$E:$L,Allocations!$A21,MATCH(Allocations!E$8,'From Fiscal forecasts'!$E$7:$L$7,0))*1000</f>
        <v>461</v>
      </c>
      <c r="F21" s="21">
        <f>INDEX('From Fiscal forecasts'!$E:$L,Allocations!$A21,MATCH(Allocations!F$8,'From Fiscal forecasts'!$E$7:$L$7,0))*1000</f>
        <v>181</v>
      </c>
      <c r="G21" s="21">
        <f>INDEX('From Fiscal forecasts'!$E:$L,Allocations!$A21,MATCH(Allocations!G$8,'From Fiscal forecasts'!$E$7:$L$7,0))*1000</f>
        <v>412</v>
      </c>
      <c r="H21" s="21">
        <f>INDEX('From Fiscal forecasts'!$E:$L,Allocations!$A21,MATCH(Allocations!H$8,'From Fiscal forecasts'!$E$7:$L$7,0))*1000</f>
        <v>484</v>
      </c>
      <c r="I21" s="21">
        <f>INDEX('From Fiscal forecasts'!$E:$L,Allocations!$A21,MATCH(Allocations!I$8,'From Fiscal forecasts'!$E$7:$L$7,0))*1000</f>
        <v>342</v>
      </c>
      <c r="J21" s="21">
        <f>INDEX('From Fiscal forecasts'!$E:$L,Allocations!$A21,MATCH(Allocations!J$8,'From Fiscal forecasts'!$E$7:$L$7,0))*1000</f>
        <v>342</v>
      </c>
      <c r="K21" s="21">
        <f>INDEX('From Fiscal forecasts'!$E:$L,Allocations!$A21,MATCH(Allocations!K$8,'From Fiscal forecasts'!$E$7:$L$7,0))*1000</f>
        <v>342</v>
      </c>
      <c r="L21" s="121"/>
      <c r="M21" s="121"/>
      <c r="N21" s="121"/>
      <c r="O21" s="121"/>
      <c r="P21" s="121"/>
      <c r="Q21" s="121"/>
      <c r="R21" s="121"/>
      <c r="S21" s="24" t="s">
        <v>129</v>
      </c>
      <c r="T21" s="163">
        <f t="shared" si="3"/>
        <v>145</v>
      </c>
      <c r="U21" s="163">
        <f t="shared" si="4"/>
        <v>461</v>
      </c>
      <c r="V21" s="163">
        <f t="shared" si="5"/>
        <v>181</v>
      </c>
      <c r="W21" s="144">
        <f t="shared" si="6"/>
        <v>412</v>
      </c>
      <c r="X21" s="144">
        <f t="shared" si="7"/>
        <v>484</v>
      </c>
      <c r="Y21" s="144">
        <f t="shared" si="8"/>
        <v>342</v>
      </c>
      <c r="Z21" s="144">
        <f t="shared" si="9"/>
        <v>342</v>
      </c>
      <c r="AA21" s="144">
        <f t="shared" si="10"/>
        <v>342</v>
      </c>
    </row>
    <row r="22" spans="1:27" x14ac:dyDescent="0.25">
      <c r="A22" s="164">
        <v>63</v>
      </c>
      <c r="B22" s="164" t="s">
        <v>130</v>
      </c>
      <c r="C22" s="24" t="s">
        <v>130</v>
      </c>
      <c r="D22" s="21">
        <f>INDEX('From Fiscal forecasts'!$E:$L,Allocations!$A22,MATCH(Allocations!D$8,'From Fiscal forecasts'!$E$7:$L$7,0))*1000</f>
        <v>667</v>
      </c>
      <c r="E22" s="21">
        <f>INDEX('From Fiscal forecasts'!$E:$L,Allocations!$A22,MATCH(Allocations!E$8,'From Fiscal forecasts'!$E$7:$L$7,0))*1000</f>
        <v>749</v>
      </c>
      <c r="F22" s="21">
        <f>INDEX('From Fiscal forecasts'!$E:$L,Allocations!$A22,MATCH(Allocations!F$8,'From Fiscal forecasts'!$E$7:$L$7,0))*1000</f>
        <v>644</v>
      </c>
      <c r="G22" s="21">
        <f>INDEX('From Fiscal forecasts'!$E:$L,Allocations!$A22,MATCH(Allocations!G$8,'From Fiscal forecasts'!$E$7:$L$7,0))*1000</f>
        <v>792</v>
      </c>
      <c r="H22" s="21">
        <f>INDEX('From Fiscal forecasts'!$E:$L,Allocations!$A22,MATCH(Allocations!H$8,'From Fiscal forecasts'!$E$7:$L$7,0))*1000</f>
        <v>706</v>
      </c>
      <c r="I22" s="21">
        <f>INDEX('From Fiscal forecasts'!$E:$L,Allocations!$A22,MATCH(Allocations!I$8,'From Fiscal forecasts'!$E$7:$L$7,0))*1000</f>
        <v>678</v>
      </c>
      <c r="J22" s="21">
        <f>INDEX('From Fiscal forecasts'!$E:$L,Allocations!$A22,MATCH(Allocations!J$8,'From Fiscal forecasts'!$E$7:$L$7,0))*1000</f>
        <v>648</v>
      </c>
      <c r="K22" s="21">
        <f>INDEX('From Fiscal forecasts'!$E:$L,Allocations!$A22,MATCH(Allocations!K$8,'From Fiscal forecasts'!$E$7:$L$7,0))*1000</f>
        <v>648</v>
      </c>
      <c r="L22" s="138" t="s">
        <v>130</v>
      </c>
      <c r="M22" s="174">
        <f>VLOOKUP($L22,'From allocate tab'!$A:$G,M$7,0)</f>
        <v>1.4999999999999999E-2</v>
      </c>
      <c r="N22" s="169">
        <f>VLOOKUP($L22,'From allocate tab'!$A:$G,N$7,0)</f>
        <v>-1.7999999999999999E-2</v>
      </c>
      <c r="O22" s="169">
        <f>VLOOKUP($L22,'From allocate tab'!$A:$G,O$7,0)</f>
        <v>0.03</v>
      </c>
      <c r="P22" s="169">
        <f>VLOOKUP($L22,'From allocate tab'!$A:$G,P$7,0)</f>
        <v>5.8999999999999997E-2</v>
      </c>
      <c r="Q22" s="169">
        <f>VLOOKUP($L22,'From allocate tab'!$A:$G,Q$7,0)</f>
        <v>8.5999999999999993E-2</v>
      </c>
      <c r="R22" s="169">
        <f>VLOOKUP($L22,'From allocate tab'!$A:$G,R$7,0)</f>
        <v>0.113</v>
      </c>
      <c r="S22" s="24" t="s">
        <v>130</v>
      </c>
      <c r="T22" s="163">
        <f t="shared" si="3"/>
        <v>667</v>
      </c>
      <c r="U22" s="163">
        <f t="shared" si="4"/>
        <v>749</v>
      </c>
      <c r="V22" s="163">
        <f t="shared" si="5"/>
        <v>644</v>
      </c>
      <c r="W22" s="144">
        <f t="shared" si="6"/>
        <v>774</v>
      </c>
      <c r="X22" s="144">
        <f t="shared" si="7"/>
        <v>736</v>
      </c>
      <c r="Y22" s="144">
        <f t="shared" si="8"/>
        <v>737</v>
      </c>
      <c r="Z22" s="144">
        <f t="shared" si="9"/>
        <v>734</v>
      </c>
      <c r="AA22" s="144">
        <f t="shared" si="10"/>
        <v>761</v>
      </c>
    </row>
    <row r="23" spans="1:27" x14ac:dyDescent="0.25">
      <c r="A23" s="164">
        <v>53</v>
      </c>
      <c r="B23" s="164" t="s">
        <v>131</v>
      </c>
      <c r="C23" s="24" t="s">
        <v>131</v>
      </c>
      <c r="D23" s="21">
        <f>INDEX('From Fiscal forecasts'!$E:$L,Allocations!$A23,MATCH(Allocations!D$8,'From Fiscal forecasts'!$E$7:$L$7,0))*1000</f>
        <v>23523</v>
      </c>
      <c r="E23" s="21">
        <f>INDEX('From Fiscal forecasts'!$E:$L,Allocations!$A23,MATCH(Allocations!E$8,'From Fiscal forecasts'!$E$7:$L$7,0))*1000</f>
        <v>24081</v>
      </c>
      <c r="F23" s="21">
        <f>INDEX('From Fiscal forecasts'!$E:$L,Allocations!$A23,MATCH(Allocations!F$8,'From Fiscal forecasts'!$E$7:$L$7,0))*1000</f>
        <v>25294</v>
      </c>
      <c r="G23" s="21">
        <f>INDEX('From Fiscal forecasts'!$E:$L,Allocations!$A23,MATCH(Allocations!G$8,'From Fiscal forecasts'!$E$7:$L$7,0))*1000</f>
        <v>26191</v>
      </c>
      <c r="H23" s="21">
        <f>INDEX('From Fiscal forecasts'!$E:$L,Allocations!$A23,MATCH(Allocations!H$8,'From Fiscal forecasts'!$E$7:$L$7,0))*1000</f>
        <v>28729</v>
      </c>
      <c r="I23" s="21">
        <f>INDEX('From Fiscal forecasts'!$E:$L,Allocations!$A23,MATCH(Allocations!I$8,'From Fiscal forecasts'!$E$7:$L$7,0))*1000</f>
        <v>29792</v>
      </c>
      <c r="J23" s="21">
        <f>INDEX('From Fiscal forecasts'!$E:$L,Allocations!$A23,MATCH(Allocations!J$8,'From Fiscal forecasts'!$E$7:$L$7,0))*1000</f>
        <v>30913</v>
      </c>
      <c r="K23" s="21">
        <f>INDEX('From Fiscal forecasts'!$E:$L,Allocations!$A23,MATCH(Allocations!K$8,'From Fiscal forecasts'!$E$7:$L$7,0))*1000</f>
        <v>32180.999999999996</v>
      </c>
      <c r="L23" s="138" t="s">
        <v>147</v>
      </c>
      <c r="M23" s="174">
        <f>VLOOKUP($L23,'From allocate tab'!$A:$G,M$7,0)</f>
        <v>2.5000000000000001E-2</v>
      </c>
      <c r="N23" s="169">
        <f>VLOOKUP($L23,'From allocate tab'!$A:$G,N$7,0)</f>
        <v>-0.03</v>
      </c>
      <c r="O23" s="169">
        <f>VLOOKUP($L23,'From allocate tab'!$A:$G,O$7,0)</f>
        <v>4.9000000000000002E-2</v>
      </c>
      <c r="P23" s="169">
        <f>VLOOKUP($L23,'From allocate tab'!$A:$G,P$7,0)</f>
        <v>9.8000000000000004E-2</v>
      </c>
      <c r="Q23" s="169">
        <f>VLOOKUP($L23,'From allocate tab'!$A:$G,Q$7,0)</f>
        <v>0.14399999999999999</v>
      </c>
      <c r="R23" s="169">
        <f>VLOOKUP($L23,'From allocate tab'!$A:$G,R$7,0)</f>
        <v>0.188</v>
      </c>
      <c r="S23" s="24" t="s">
        <v>131</v>
      </c>
      <c r="T23" s="163">
        <f t="shared" si="3"/>
        <v>23523</v>
      </c>
      <c r="U23" s="163">
        <f t="shared" si="4"/>
        <v>24081</v>
      </c>
      <c r="V23" s="163">
        <f t="shared" si="5"/>
        <v>25294</v>
      </c>
      <c r="W23" s="144">
        <f t="shared" si="6"/>
        <v>26161</v>
      </c>
      <c r="X23" s="144">
        <f t="shared" si="7"/>
        <v>28778</v>
      </c>
      <c r="Y23" s="144">
        <f t="shared" si="8"/>
        <v>29890</v>
      </c>
      <c r="Z23" s="144">
        <f t="shared" si="9"/>
        <v>31057</v>
      </c>
      <c r="AA23" s="144">
        <f t="shared" si="10"/>
        <v>32368.999999999996</v>
      </c>
    </row>
    <row r="24" spans="1:27" x14ac:dyDescent="0.25">
      <c r="A24" s="164">
        <v>60</v>
      </c>
      <c r="B24" s="164" t="s">
        <v>200</v>
      </c>
      <c r="C24" s="32" t="s">
        <v>132</v>
      </c>
      <c r="D24" s="21">
        <f>INDEX('From Fiscal forecasts'!$E:$L,Allocations!$A24,MATCH(Allocations!D$8,'From Fiscal forecasts'!$E$7:$L$7,0))*1000</f>
        <v>2291</v>
      </c>
      <c r="E24" s="21">
        <f>INDEX('From Fiscal forecasts'!$E:$L,Allocations!$A24,MATCH(Allocations!E$8,'From Fiscal forecasts'!$E$7:$L$7,0))*1000</f>
        <v>2178</v>
      </c>
      <c r="F24" s="21">
        <f>INDEX('From Fiscal forecasts'!$E:$L,Allocations!$A24,MATCH(Allocations!F$8,'From Fiscal forecasts'!$E$7:$L$7,0))*1000</f>
        <v>2176</v>
      </c>
      <c r="G24" s="21">
        <f>INDEX('From Fiscal forecasts'!$E:$L,Allocations!$A24,MATCH(Allocations!G$8,'From Fiscal forecasts'!$E$7:$L$7,0))*1000</f>
        <v>2486</v>
      </c>
      <c r="H24" s="21">
        <f>INDEX('From Fiscal forecasts'!$E:$L,Allocations!$A24,MATCH(Allocations!H$8,'From Fiscal forecasts'!$E$7:$L$7,0))*1000</f>
        <v>2350</v>
      </c>
      <c r="I24" s="21">
        <f>INDEX('From Fiscal forecasts'!$E:$L,Allocations!$A24,MATCH(Allocations!I$8,'From Fiscal forecasts'!$E$7:$L$7,0))*1000</f>
        <v>2280</v>
      </c>
      <c r="J24" s="21">
        <f>INDEX('From Fiscal forecasts'!$E:$L,Allocations!$A24,MATCH(Allocations!J$8,'From Fiscal forecasts'!$E$7:$L$7,0))*1000</f>
        <v>2813</v>
      </c>
      <c r="K24" s="21">
        <f>INDEX('From Fiscal forecasts'!$E:$L,Allocations!$A24,MATCH(Allocations!K$8,'From Fiscal forecasts'!$E$7:$L$7,0))*1000</f>
        <v>2423</v>
      </c>
      <c r="L24" s="121"/>
      <c r="M24" s="121"/>
      <c r="N24" s="121"/>
      <c r="O24" s="121"/>
      <c r="P24" s="121"/>
      <c r="Q24" s="121"/>
      <c r="R24" s="121"/>
      <c r="S24" s="32" t="s">
        <v>132</v>
      </c>
      <c r="T24" s="163">
        <f t="shared" si="3"/>
        <v>2291</v>
      </c>
      <c r="U24" s="163">
        <f t="shared" si="4"/>
        <v>2178</v>
      </c>
      <c r="V24" s="163">
        <f t="shared" si="5"/>
        <v>2176</v>
      </c>
      <c r="W24" s="144">
        <f t="shared" si="6"/>
        <v>2486</v>
      </c>
      <c r="X24" s="144">
        <f t="shared" si="7"/>
        <v>2350</v>
      </c>
      <c r="Y24" s="144">
        <f t="shared" si="8"/>
        <v>2280</v>
      </c>
      <c r="Z24" s="144">
        <f t="shared" si="9"/>
        <v>2813</v>
      </c>
      <c r="AA24" s="144">
        <f t="shared" si="10"/>
        <v>2423</v>
      </c>
    </row>
    <row r="25" spans="1:27" x14ac:dyDescent="0.25">
      <c r="A25" s="164">
        <v>68</v>
      </c>
      <c r="C25" s="36" t="s">
        <v>35</v>
      </c>
      <c r="D25" s="21">
        <f>INDEX('From Fiscal forecasts'!$E:$L,Allocations!$A25,MATCH(Allocations!D$8,'From Fiscal forecasts'!$E$7:$L$7,0))*1000</f>
        <v>72362.999999999985</v>
      </c>
      <c r="E25" s="21">
        <f>INDEX('From Fiscal forecasts'!$E:$L,Allocations!$A25,MATCH(Allocations!E$8,'From Fiscal forecasts'!$E$7:$L$7,0))*1000</f>
        <v>73929.000000000015</v>
      </c>
      <c r="F25" s="21">
        <f>INDEX('From Fiscal forecasts'!$E:$L,Allocations!$A25,MATCH(Allocations!F$8,'From Fiscal forecasts'!$E$7:$L$7,0))*1000</f>
        <v>76338.999999999985</v>
      </c>
      <c r="G25" s="21">
        <f>INDEX('From Fiscal forecasts'!$E:$L,Allocations!$A25,MATCH(Allocations!G$8,'From Fiscal forecasts'!$E$7:$L$7,0))*1000</f>
        <v>81653.000000000015</v>
      </c>
      <c r="H25" s="21">
        <f>INDEX('From Fiscal forecasts'!$E:$L,Allocations!$A25,MATCH(Allocations!H$8,'From Fiscal forecasts'!$E$7:$L$7,0))*1000</f>
        <v>86308</v>
      </c>
      <c r="I25" s="21">
        <f>INDEX('From Fiscal forecasts'!$E:$L,Allocations!$A25,MATCH(Allocations!I$8,'From Fiscal forecasts'!$E$7:$L$7,0))*1000</f>
        <v>89160.000000000015</v>
      </c>
      <c r="J25" s="21">
        <f>INDEX('From Fiscal forecasts'!$E:$L,Allocations!$A25,MATCH(Allocations!J$8,'From Fiscal forecasts'!$E$7:$L$7,0))*1000</f>
        <v>92727</v>
      </c>
      <c r="K25" s="21">
        <f>INDEX('From Fiscal forecasts'!$E:$L,Allocations!$A25,MATCH(Allocations!K$8,'From Fiscal forecasts'!$E$7:$L$7,0))*1000</f>
        <v>95303.999999999985</v>
      </c>
      <c r="L25" s="121"/>
      <c r="M25" s="121"/>
      <c r="N25" s="121"/>
      <c r="O25" s="121"/>
      <c r="P25" s="121"/>
      <c r="Q25" s="121"/>
      <c r="R25" s="121"/>
      <c r="S25" s="36" t="s">
        <v>35</v>
      </c>
      <c r="T25" s="163">
        <f t="shared" si="3"/>
        <v>72362.999999999985</v>
      </c>
      <c r="U25" s="163">
        <f t="shared" si="4"/>
        <v>73929.000000000015</v>
      </c>
      <c r="V25" s="163">
        <f t="shared" si="5"/>
        <v>76338.999999999985</v>
      </c>
      <c r="W25" s="121"/>
      <c r="X25" s="121"/>
      <c r="Y25" s="121"/>
      <c r="Z25" s="121"/>
      <c r="AA25" s="12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workbookViewId="0">
      <selection activeCell="T8" sqref="T8"/>
    </sheetView>
  </sheetViews>
  <sheetFormatPr defaultRowHeight="15" x14ac:dyDescent="0.25"/>
  <sheetData>
    <row r="1" spans="1:7" x14ac:dyDescent="0.25">
      <c r="A1" s="149" t="s">
        <v>151</v>
      </c>
      <c r="B1" s="147"/>
      <c r="C1" s="151"/>
      <c r="D1" s="150"/>
      <c r="E1" s="147"/>
      <c r="F1" s="147"/>
      <c r="G1" s="147"/>
    </row>
    <row r="2" spans="1:7" x14ac:dyDescent="0.25">
      <c r="A2" s="150" t="s">
        <v>152</v>
      </c>
      <c r="B2" s="147"/>
      <c r="C2" s="147"/>
      <c r="D2" s="147"/>
      <c r="E2" s="147"/>
      <c r="F2" s="147"/>
      <c r="G2" s="147"/>
    </row>
    <row r="3" spans="1:7" x14ac:dyDescent="0.25">
      <c r="A3" s="150" t="s">
        <v>153</v>
      </c>
      <c r="B3" s="147"/>
      <c r="C3" s="147"/>
      <c r="D3" s="147"/>
      <c r="E3" s="147"/>
      <c r="F3" s="147"/>
      <c r="G3" s="147"/>
    </row>
    <row r="4" spans="1:7" x14ac:dyDescent="0.25">
      <c r="A4" s="150" t="s">
        <v>154</v>
      </c>
      <c r="B4" s="147"/>
      <c r="C4" s="147"/>
      <c r="D4" s="147"/>
      <c r="E4" s="147"/>
      <c r="F4" s="147"/>
      <c r="G4" s="147"/>
    </row>
    <row r="5" spans="1:7" x14ac:dyDescent="0.25">
      <c r="A5" s="150" t="s">
        <v>155</v>
      </c>
      <c r="B5" s="147"/>
      <c r="C5" s="147"/>
      <c r="D5" s="147"/>
      <c r="E5" s="147"/>
      <c r="F5" s="147"/>
      <c r="G5" s="147"/>
    </row>
    <row r="7" spans="1:7" x14ac:dyDescent="0.25">
      <c r="A7" s="154" t="s">
        <v>133</v>
      </c>
      <c r="B7" s="147"/>
      <c r="C7" s="151" t="s">
        <v>135</v>
      </c>
      <c r="D7" s="151" t="s">
        <v>136</v>
      </c>
      <c r="E7" s="151" t="s">
        <v>137</v>
      </c>
      <c r="F7" s="151" t="s">
        <v>138</v>
      </c>
      <c r="G7" s="151" t="s">
        <v>156</v>
      </c>
    </row>
    <row r="8" spans="1:7" x14ac:dyDescent="0.25">
      <c r="A8" s="154"/>
      <c r="B8" s="147"/>
      <c r="C8" s="149">
        <v>2017</v>
      </c>
      <c r="D8" s="149">
        <v>2018</v>
      </c>
      <c r="E8" s="149">
        <v>2020</v>
      </c>
      <c r="F8" s="149">
        <v>2021</v>
      </c>
      <c r="G8" s="149">
        <v>2022</v>
      </c>
    </row>
    <row r="9" spans="1:7" x14ac:dyDescent="0.25">
      <c r="A9" s="149" t="s">
        <v>139</v>
      </c>
      <c r="B9" s="147"/>
      <c r="C9" s="153">
        <v>0.17899999999999999</v>
      </c>
      <c r="D9" s="153">
        <v>2.7210000000000001</v>
      </c>
      <c r="E9" s="153">
        <v>4.4960000000000004</v>
      </c>
      <c r="F9" s="153">
        <v>6.3390000000000004</v>
      </c>
      <c r="G9" s="153">
        <v>8.0839999999999996</v>
      </c>
    </row>
    <row r="10" spans="1:7" x14ac:dyDescent="0.25">
      <c r="A10" s="149" t="s">
        <v>140</v>
      </c>
      <c r="B10" s="147"/>
      <c r="C10" s="153">
        <v>-1.365</v>
      </c>
      <c r="D10" s="153">
        <v>-0.75</v>
      </c>
      <c r="E10" s="153">
        <v>-0.57499999999999996</v>
      </c>
      <c r="F10" s="153">
        <v>-0.57499999999999996</v>
      </c>
      <c r="G10" s="153">
        <v>-0.57499999999999996</v>
      </c>
    </row>
    <row r="11" spans="1:7" x14ac:dyDescent="0.25">
      <c r="A11" s="149" t="s">
        <v>141</v>
      </c>
      <c r="B11" s="147"/>
      <c r="C11" s="156">
        <v>-1.1859999999999999</v>
      </c>
      <c r="D11" s="156">
        <v>1.9710000000000001</v>
      </c>
      <c r="E11" s="156">
        <v>3.9210000000000003</v>
      </c>
      <c r="F11" s="156">
        <v>5.7640000000000002</v>
      </c>
      <c r="G11" s="156">
        <v>7.5089999999999995</v>
      </c>
    </row>
    <row r="12" spans="1:7" x14ac:dyDescent="0.25">
      <c r="A12" s="149"/>
      <c r="B12" s="148" t="s">
        <v>142</v>
      </c>
      <c r="C12" s="149"/>
      <c r="D12" s="155"/>
      <c r="E12" s="155"/>
      <c r="F12" s="155"/>
      <c r="G12" s="155"/>
    </row>
    <row r="13" spans="1:7" ht="16.5" x14ac:dyDescent="0.25">
      <c r="A13" s="158" t="s">
        <v>143</v>
      </c>
      <c r="B13" s="148" t="s">
        <v>144</v>
      </c>
      <c r="C13" s="149"/>
      <c r="D13" s="147"/>
      <c r="E13" s="147"/>
      <c r="F13" s="147"/>
      <c r="G13" s="147"/>
    </row>
    <row r="14" spans="1:7" x14ac:dyDescent="0.25">
      <c r="A14" s="148" t="s">
        <v>147</v>
      </c>
      <c r="B14" s="159">
        <v>2.5000000000000001E-2</v>
      </c>
      <c r="C14" s="152">
        <v>-0.03</v>
      </c>
      <c r="D14" s="152">
        <v>4.9000000000000002E-2</v>
      </c>
      <c r="E14" s="152">
        <v>9.8000000000000004E-2</v>
      </c>
      <c r="F14" s="152">
        <v>0.14399999999999999</v>
      </c>
      <c r="G14" s="152">
        <v>0.188</v>
      </c>
    </row>
    <row r="15" spans="1:7" x14ac:dyDescent="0.25">
      <c r="A15" s="148" t="s">
        <v>30</v>
      </c>
      <c r="B15" s="159">
        <v>0.34499999999999997</v>
      </c>
      <c r="C15" s="152">
        <v>-0.40799999999999997</v>
      </c>
      <c r="D15" s="152">
        <v>0.67900000000000005</v>
      </c>
      <c r="E15" s="152">
        <v>1.353</v>
      </c>
      <c r="F15" s="152">
        <v>1.9910000000000001</v>
      </c>
      <c r="G15" s="152">
        <v>2.5900000000000003</v>
      </c>
    </row>
    <row r="16" spans="1:7" x14ac:dyDescent="0.25">
      <c r="A16" s="148" t="s">
        <v>28</v>
      </c>
      <c r="B16" s="159">
        <v>0.29499999999999998</v>
      </c>
      <c r="C16" s="152">
        <v>-0.35</v>
      </c>
      <c r="D16" s="152">
        <v>0.58099999999999996</v>
      </c>
      <c r="E16" s="152">
        <v>1.157</v>
      </c>
      <c r="F16" s="152">
        <v>1.7</v>
      </c>
      <c r="G16" s="152">
        <v>2.2149999999999999</v>
      </c>
    </row>
    <row r="17" spans="1:7" x14ac:dyDescent="0.25">
      <c r="A17" s="148" t="s">
        <v>145</v>
      </c>
      <c r="B17" s="159">
        <v>0.1</v>
      </c>
      <c r="C17" s="152">
        <v>-0.11899999999999999</v>
      </c>
      <c r="D17" s="152">
        <v>0.19700000000000001</v>
      </c>
      <c r="E17" s="152">
        <v>0.39200000000000002</v>
      </c>
      <c r="F17" s="152">
        <v>0.57599999999999996</v>
      </c>
      <c r="G17" s="152">
        <v>0.751</v>
      </c>
    </row>
    <row r="18" spans="1:7" x14ac:dyDescent="0.25">
      <c r="A18" s="148" t="s">
        <v>31</v>
      </c>
      <c r="B18" s="159">
        <v>0.08</v>
      </c>
      <c r="C18" s="152">
        <v>-9.5000000000000001E-2</v>
      </c>
      <c r="D18" s="152">
        <v>0.158</v>
      </c>
      <c r="E18" s="152">
        <v>0.314</v>
      </c>
      <c r="F18" s="152">
        <v>0.46100000000000002</v>
      </c>
      <c r="G18" s="152">
        <v>0.60099999999999998</v>
      </c>
    </row>
    <row r="19" spans="1:7" x14ac:dyDescent="0.25">
      <c r="A19" s="148" t="s">
        <v>27</v>
      </c>
      <c r="B19" s="159">
        <v>4.4999999999999998E-2</v>
      </c>
      <c r="C19" s="152">
        <v>-5.2999999999999999E-2</v>
      </c>
      <c r="D19" s="152">
        <v>8.8999999999999996E-2</v>
      </c>
      <c r="E19" s="152">
        <v>0.17599999999999999</v>
      </c>
      <c r="F19" s="152">
        <v>0.25900000000000001</v>
      </c>
      <c r="G19" s="152">
        <v>0.33800000000000002</v>
      </c>
    </row>
    <row r="20" spans="1:7" x14ac:dyDescent="0.25">
      <c r="A20" s="148" t="s">
        <v>121</v>
      </c>
      <c r="B20" s="159">
        <v>0.05</v>
      </c>
      <c r="C20" s="152">
        <v>-5.8999999999999997E-2</v>
      </c>
      <c r="D20" s="152">
        <v>9.9000000000000005E-2</v>
      </c>
      <c r="E20" s="152">
        <v>0.19600000000000001</v>
      </c>
      <c r="F20" s="152">
        <v>0.28799999999999998</v>
      </c>
      <c r="G20" s="152">
        <v>0.375</v>
      </c>
    </row>
    <row r="21" spans="1:7" x14ac:dyDescent="0.25">
      <c r="A21" s="148" t="s">
        <v>125</v>
      </c>
      <c r="B21" s="159">
        <v>0.02</v>
      </c>
      <c r="C21" s="152">
        <v>-2.4E-2</v>
      </c>
      <c r="D21" s="152">
        <v>3.9E-2</v>
      </c>
      <c r="E21" s="152">
        <v>7.8E-2</v>
      </c>
      <c r="F21" s="152">
        <v>0.115</v>
      </c>
      <c r="G21" s="152">
        <v>0.15</v>
      </c>
    </row>
    <row r="22" spans="1:7" x14ac:dyDescent="0.25">
      <c r="A22" s="148" t="s">
        <v>130</v>
      </c>
      <c r="B22" s="159">
        <v>1.4999999999999999E-2</v>
      </c>
      <c r="C22" s="152">
        <v>-1.7999999999999999E-2</v>
      </c>
      <c r="D22" s="152">
        <v>0.03</v>
      </c>
      <c r="E22" s="152">
        <v>5.8999999999999997E-2</v>
      </c>
      <c r="F22" s="152">
        <v>8.5999999999999993E-2</v>
      </c>
      <c r="G22" s="152">
        <v>0.113</v>
      </c>
    </row>
    <row r="23" spans="1:7" x14ac:dyDescent="0.25">
      <c r="A23" s="148" t="s">
        <v>126</v>
      </c>
      <c r="B23" s="159">
        <v>0.01</v>
      </c>
      <c r="C23" s="152">
        <v>-1.2E-2</v>
      </c>
      <c r="D23" s="152">
        <v>0.02</v>
      </c>
      <c r="E23" s="152">
        <v>3.9E-2</v>
      </c>
      <c r="F23" s="152">
        <v>5.8000000000000003E-2</v>
      </c>
      <c r="G23" s="152">
        <v>7.4999999999999997E-2</v>
      </c>
    </row>
    <row r="24" spans="1:7" x14ac:dyDescent="0.25">
      <c r="A24" s="148" t="s">
        <v>146</v>
      </c>
      <c r="B24" s="159">
        <v>1.4999999999999999E-2</v>
      </c>
      <c r="C24" s="152">
        <v>-1.7999999999999999E-2</v>
      </c>
      <c r="D24" s="152">
        <v>0.03</v>
      </c>
      <c r="E24" s="152">
        <v>5.8999999999999997E-2</v>
      </c>
      <c r="F24" s="152">
        <v>8.5999999999999993E-2</v>
      </c>
      <c r="G24" s="152">
        <v>0.113</v>
      </c>
    </row>
    <row r="25" spans="1:7" x14ac:dyDescent="0.25">
      <c r="A25" s="149" t="s">
        <v>157</v>
      </c>
      <c r="B25" s="160">
        <v>1</v>
      </c>
      <c r="C25" s="156">
        <v>-1.1859999999999999</v>
      </c>
      <c r="D25" s="156">
        <v>1.9710000000000001</v>
      </c>
      <c r="E25" s="156">
        <v>3.9210000000000007</v>
      </c>
      <c r="F25" s="156">
        <v>5.7640000000000011</v>
      </c>
      <c r="G25" s="156">
        <v>7.5090000000000021</v>
      </c>
    </row>
    <row r="26" spans="1:7" x14ac:dyDescent="0.25">
      <c r="A26" s="149"/>
      <c r="B26" s="147"/>
      <c r="C26" s="157"/>
      <c r="D26" s="157"/>
      <c r="E26" s="157"/>
      <c r="F26" s="157"/>
      <c r="G26" s="157"/>
    </row>
    <row r="27" spans="1:7" x14ac:dyDescent="0.25">
      <c r="A27" s="149" t="s">
        <v>158</v>
      </c>
      <c r="B27" s="147"/>
      <c r="C27" s="161">
        <v>0.30399999999999999</v>
      </c>
      <c r="D27" s="161">
        <v>2.2690000000000001</v>
      </c>
      <c r="E27" s="153">
        <v>4.734</v>
      </c>
      <c r="F27" s="153">
        <v>7.4790000000000001</v>
      </c>
      <c r="G27" s="153">
        <v>10.199</v>
      </c>
    </row>
    <row r="28" spans="1:7" x14ac:dyDescent="0.25">
      <c r="A28" s="149" t="s">
        <v>159</v>
      </c>
      <c r="B28" s="147"/>
      <c r="C28" s="153">
        <v>-1.1000000000000001</v>
      </c>
      <c r="D28" s="153">
        <v>-1.55</v>
      </c>
      <c r="E28" s="153">
        <v>-1.8</v>
      </c>
      <c r="F28" s="153">
        <v>-1.9</v>
      </c>
      <c r="G28" s="153">
        <v>-1.95</v>
      </c>
    </row>
    <row r="29" spans="1:7" x14ac:dyDescent="0.25">
      <c r="A29" s="149" t="s">
        <v>160</v>
      </c>
      <c r="B29" s="147"/>
      <c r="C29" s="156">
        <v>-0.79600000000000004</v>
      </c>
      <c r="D29" s="156">
        <v>0.71900000000000008</v>
      </c>
      <c r="E29" s="156">
        <v>2.9340000000000002</v>
      </c>
      <c r="F29" s="156">
        <v>5.5790000000000006</v>
      </c>
      <c r="G29" s="156">
        <v>8.2490000000000006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6"/>
  <sheetViews>
    <sheetView workbookViewId="0">
      <selection activeCell="B25" activeCellId="3" sqref="B9 B14 B23 B25"/>
    </sheetView>
  </sheetViews>
  <sheetFormatPr defaultRowHeight="15" x14ac:dyDescent="0.25"/>
  <cols>
    <col min="1" max="1" width="9.140625" style="164"/>
  </cols>
  <sheetData>
    <row r="1" spans="1:12" x14ac:dyDescent="0.25">
      <c r="A1" s="164">
        <v>1</v>
      </c>
      <c r="B1" s="166" t="s">
        <v>161</v>
      </c>
      <c r="C1" s="166"/>
      <c r="D1" s="164"/>
      <c r="E1" s="164"/>
      <c r="F1" s="164"/>
      <c r="G1" s="164"/>
      <c r="H1" s="164"/>
      <c r="I1" s="164"/>
      <c r="J1" s="164"/>
      <c r="K1" s="164"/>
      <c r="L1" s="164"/>
    </row>
    <row r="2" spans="1:12" x14ac:dyDescent="0.25">
      <c r="A2" s="164">
        <f>+A1+1</f>
        <v>2</v>
      </c>
      <c r="B2" s="167" t="s">
        <v>162</v>
      </c>
      <c r="C2" s="164"/>
      <c r="D2" s="164"/>
      <c r="E2" s="164"/>
      <c r="F2" s="164"/>
      <c r="G2" s="164"/>
      <c r="H2" s="164"/>
      <c r="I2" s="164"/>
      <c r="J2" s="164"/>
      <c r="K2" s="164"/>
      <c r="L2" s="164"/>
    </row>
    <row r="3" spans="1:12" x14ac:dyDescent="0.25">
      <c r="A3" s="164">
        <f t="shared" ref="A3:A66" si="0">+A2+1</f>
        <v>3</v>
      </c>
      <c r="B3" s="167" t="s">
        <v>163</v>
      </c>
      <c r="C3" s="164"/>
      <c r="D3" s="164"/>
      <c r="E3" s="164"/>
      <c r="F3" s="164"/>
      <c r="G3" s="164"/>
      <c r="H3" s="164"/>
      <c r="I3" s="164"/>
      <c r="J3" s="164"/>
      <c r="K3" s="164"/>
      <c r="L3" s="164"/>
    </row>
    <row r="4" spans="1:12" x14ac:dyDescent="0.25">
      <c r="A4" s="164">
        <f t="shared" si="0"/>
        <v>4</v>
      </c>
      <c r="B4" s="167" t="s">
        <v>164</v>
      </c>
      <c r="C4" s="164"/>
      <c r="D4" s="164"/>
      <c r="E4" s="164"/>
      <c r="F4" s="164"/>
      <c r="G4" s="164"/>
      <c r="H4" s="164"/>
      <c r="I4" s="164"/>
      <c r="J4" s="164"/>
      <c r="K4" s="164"/>
      <c r="L4" s="164"/>
    </row>
    <row r="5" spans="1:12" x14ac:dyDescent="0.25">
      <c r="A5" s="164">
        <f t="shared" si="0"/>
        <v>5</v>
      </c>
      <c r="B5" s="167" t="s">
        <v>155</v>
      </c>
      <c r="C5" s="164"/>
      <c r="D5" s="164"/>
      <c r="E5" s="164"/>
      <c r="F5" s="164"/>
      <c r="G5" s="164"/>
      <c r="H5" s="173" t="s">
        <v>165</v>
      </c>
      <c r="I5" s="164"/>
      <c r="J5" s="164"/>
      <c r="K5" s="164"/>
      <c r="L5" s="164"/>
    </row>
    <row r="6" spans="1:12" x14ac:dyDescent="0.25">
      <c r="A6" s="164">
        <f t="shared" si="0"/>
        <v>6</v>
      </c>
      <c r="B6" s="166" t="s">
        <v>166</v>
      </c>
      <c r="C6" s="166"/>
      <c r="D6" s="164"/>
      <c r="E6" s="168" t="s">
        <v>167</v>
      </c>
      <c r="F6" s="168" t="s">
        <v>168</v>
      </c>
      <c r="G6" s="168" t="s">
        <v>134</v>
      </c>
      <c r="H6" s="172" t="s">
        <v>135</v>
      </c>
      <c r="I6" s="172" t="s">
        <v>136</v>
      </c>
      <c r="J6" s="172" t="s">
        <v>137</v>
      </c>
      <c r="K6" s="172" t="s">
        <v>138</v>
      </c>
      <c r="L6" s="172" t="s">
        <v>156</v>
      </c>
    </row>
    <row r="7" spans="1:12" x14ac:dyDescent="0.25">
      <c r="A7" s="164">
        <f t="shared" si="0"/>
        <v>7</v>
      </c>
      <c r="B7" s="164"/>
      <c r="C7" s="164"/>
      <c r="D7" s="164"/>
      <c r="E7" s="166">
        <v>2015</v>
      </c>
      <c r="F7" s="166">
        <v>2016</v>
      </c>
      <c r="G7" s="166">
        <v>2017</v>
      </c>
      <c r="H7" s="173">
        <v>2018</v>
      </c>
      <c r="I7" s="173">
        <v>2019</v>
      </c>
      <c r="J7" s="173">
        <v>2020</v>
      </c>
      <c r="K7" s="173">
        <v>2021</v>
      </c>
      <c r="L7" s="173">
        <v>2022</v>
      </c>
    </row>
    <row r="8" spans="1:12" x14ac:dyDescent="0.25">
      <c r="A8" s="164">
        <f t="shared" si="0"/>
        <v>8</v>
      </c>
      <c r="B8" s="166" t="s">
        <v>169</v>
      </c>
      <c r="C8" s="166"/>
      <c r="D8" s="176"/>
      <c r="E8" s="176"/>
      <c r="F8" s="176"/>
      <c r="G8" s="176"/>
      <c r="H8" s="177"/>
      <c r="I8" s="177"/>
      <c r="J8" s="177"/>
      <c r="K8" s="177"/>
      <c r="L8" s="177"/>
    </row>
    <row r="9" spans="1:12" x14ac:dyDescent="0.25">
      <c r="A9" s="164">
        <f t="shared" si="0"/>
        <v>9</v>
      </c>
      <c r="B9" s="165" t="s">
        <v>170</v>
      </c>
      <c r="C9" s="165" t="s">
        <v>171</v>
      </c>
      <c r="D9" s="178"/>
      <c r="E9" s="178">
        <v>66.055000000000007</v>
      </c>
      <c r="F9" s="178">
        <v>69.668000000000006</v>
      </c>
      <c r="G9" s="178">
        <v>74.972999999999999</v>
      </c>
      <c r="H9" s="175">
        <v>77.468000000000004</v>
      </c>
      <c r="I9" s="175">
        <v>82.055000000000007</v>
      </c>
      <c r="J9" s="175">
        <v>87.022000000000006</v>
      </c>
      <c r="K9" s="175">
        <v>92.129000000000005</v>
      </c>
      <c r="L9" s="175">
        <v>96.98</v>
      </c>
    </row>
    <row r="10" spans="1:12" x14ac:dyDescent="0.25">
      <c r="A10" s="164">
        <f t="shared" si="0"/>
        <v>10</v>
      </c>
      <c r="B10" s="165" t="s">
        <v>172</v>
      </c>
      <c r="C10" s="165" t="s">
        <v>171</v>
      </c>
      <c r="D10" s="178"/>
      <c r="E10" s="178">
        <v>4.9530000000000003</v>
      </c>
      <c r="F10" s="178">
        <v>4.6429999999999998</v>
      </c>
      <c r="G10" s="178">
        <v>5.0810000000000004</v>
      </c>
      <c r="H10" s="175">
        <v>5.1509999999999998</v>
      </c>
      <c r="I10" s="175">
        <v>5.5030000000000001</v>
      </c>
      <c r="J10" s="175">
        <v>5.9530000000000003</v>
      </c>
      <c r="K10" s="175">
        <v>6.1989999999999998</v>
      </c>
      <c r="L10" s="175">
        <v>6.4820000000000002</v>
      </c>
    </row>
    <row r="11" spans="1:12" x14ac:dyDescent="0.25">
      <c r="A11" s="164">
        <f t="shared" si="0"/>
        <v>11</v>
      </c>
      <c r="B11" s="165" t="s">
        <v>173</v>
      </c>
      <c r="C11" s="165" t="s">
        <v>174</v>
      </c>
      <c r="D11" s="178"/>
      <c r="E11" s="178">
        <v>16.866</v>
      </c>
      <c r="F11" s="178">
        <v>16.364000000000001</v>
      </c>
      <c r="G11" s="178">
        <v>16.870999999999999</v>
      </c>
      <c r="H11" s="175">
        <v>17.824999999999999</v>
      </c>
      <c r="I11" s="175">
        <v>18.416</v>
      </c>
      <c r="J11" s="175">
        <v>19.170999999999999</v>
      </c>
      <c r="K11" s="175">
        <v>19.617000000000001</v>
      </c>
      <c r="L11" s="175">
        <v>20.093</v>
      </c>
    </row>
    <row r="12" spans="1:12" x14ac:dyDescent="0.25">
      <c r="A12" s="164">
        <f t="shared" si="0"/>
        <v>12</v>
      </c>
      <c r="B12" s="165" t="s">
        <v>175</v>
      </c>
      <c r="C12" s="165" t="s">
        <v>171</v>
      </c>
      <c r="D12" s="178"/>
      <c r="E12" s="178">
        <v>3.524</v>
      </c>
      <c r="F12" s="178">
        <v>3.6030000000000002</v>
      </c>
      <c r="G12" s="178">
        <v>3.5979999999999999</v>
      </c>
      <c r="H12" s="175">
        <v>3.7709999999999999</v>
      </c>
      <c r="I12" s="175">
        <v>3.8759999999999999</v>
      </c>
      <c r="J12" s="175">
        <v>4.03</v>
      </c>
      <c r="K12" s="175">
        <v>4.1879999999999997</v>
      </c>
      <c r="L12" s="175">
        <v>4.3339999999999996</v>
      </c>
    </row>
    <row r="13" spans="1:12" x14ac:dyDescent="0.25">
      <c r="A13" s="164">
        <f t="shared" si="0"/>
        <v>13</v>
      </c>
      <c r="B13" s="165" t="s">
        <v>76</v>
      </c>
      <c r="C13" s="165" t="s">
        <v>174</v>
      </c>
      <c r="D13" s="178"/>
      <c r="E13" s="178">
        <v>3.6150000000000002</v>
      </c>
      <c r="F13" s="178">
        <v>3.8809999999999998</v>
      </c>
      <c r="G13" s="178">
        <v>3.7040000000000002</v>
      </c>
      <c r="H13" s="175">
        <v>3.9689999999999999</v>
      </c>
      <c r="I13" s="175">
        <v>4.0389999999999997</v>
      </c>
      <c r="J13" s="175">
        <v>4.101</v>
      </c>
      <c r="K13" s="175">
        <v>4.1239999999999997</v>
      </c>
      <c r="L13" s="175">
        <v>4.1760000000000002</v>
      </c>
    </row>
    <row r="14" spans="1:12" x14ac:dyDescent="0.25">
      <c r="A14" s="164">
        <f t="shared" si="0"/>
        <v>14</v>
      </c>
      <c r="B14" s="170" t="s">
        <v>176</v>
      </c>
      <c r="C14" s="166"/>
      <c r="D14" s="178"/>
      <c r="E14" s="179">
        <v>95.013000000000005</v>
      </c>
      <c r="F14" s="179">
        <v>98.159000000000006</v>
      </c>
      <c r="G14" s="179">
        <v>104.22699999999999</v>
      </c>
      <c r="H14" s="180">
        <v>108.184</v>
      </c>
      <c r="I14" s="180">
        <v>113.88900000000001</v>
      </c>
      <c r="J14" s="180">
        <v>120.27700000000002</v>
      </c>
      <c r="K14" s="180">
        <v>126.25700000000001</v>
      </c>
      <c r="L14" s="180">
        <v>132.065</v>
      </c>
    </row>
    <row r="15" spans="1:12" x14ac:dyDescent="0.25">
      <c r="A15" s="164">
        <f t="shared" si="0"/>
        <v>15</v>
      </c>
      <c r="B15" s="165" t="s">
        <v>177</v>
      </c>
      <c r="C15" s="165" t="s">
        <v>171</v>
      </c>
      <c r="D15" s="178"/>
      <c r="E15" s="178">
        <v>23.722999999999999</v>
      </c>
      <c r="F15" s="178">
        <v>24.312000000000001</v>
      </c>
      <c r="G15" s="178">
        <v>25.263999999999999</v>
      </c>
      <c r="H15" s="175">
        <v>26.396000000000001</v>
      </c>
      <c r="I15" s="175">
        <v>28.901</v>
      </c>
      <c r="J15" s="175">
        <v>29.988</v>
      </c>
      <c r="K15" s="175">
        <v>31.172999999999998</v>
      </c>
      <c r="L15" s="175">
        <v>32.497999999999998</v>
      </c>
    </row>
    <row r="16" spans="1:12" x14ac:dyDescent="0.25">
      <c r="A16" s="164">
        <f t="shared" si="0"/>
        <v>16</v>
      </c>
      <c r="B16" s="165" t="s">
        <v>178</v>
      </c>
      <c r="C16" s="165" t="s">
        <v>171</v>
      </c>
      <c r="D16" s="178"/>
      <c r="E16" s="178">
        <v>21.123999999999999</v>
      </c>
      <c r="F16" s="178">
        <v>21.763000000000002</v>
      </c>
      <c r="G16" s="178">
        <v>22.599</v>
      </c>
      <c r="H16" s="175">
        <v>23.603999999999999</v>
      </c>
      <c r="I16" s="175">
        <v>23.628</v>
      </c>
      <c r="J16" s="175">
        <v>23.782</v>
      </c>
      <c r="K16" s="175">
        <v>24.128</v>
      </c>
      <c r="L16" s="175">
        <v>24.187999999999999</v>
      </c>
    </row>
    <row r="17" spans="1:12" x14ac:dyDescent="0.25">
      <c r="A17" s="164">
        <f t="shared" si="0"/>
        <v>17</v>
      </c>
      <c r="B17" s="165" t="s">
        <v>179</v>
      </c>
      <c r="C17" s="165" t="s">
        <v>171</v>
      </c>
      <c r="D17" s="178"/>
      <c r="E17" s="178">
        <v>4.8419999999999996</v>
      </c>
      <c r="F17" s="178">
        <v>4.875</v>
      </c>
      <c r="G17" s="178">
        <v>5.1760000000000002</v>
      </c>
      <c r="H17" s="175">
        <v>5.2850000000000001</v>
      </c>
      <c r="I17" s="175">
        <v>5.4630000000000001</v>
      </c>
      <c r="J17" s="175">
        <v>5.5940000000000003</v>
      </c>
      <c r="K17" s="175">
        <v>5.6150000000000002</v>
      </c>
      <c r="L17" s="175">
        <v>5.6319999999999997</v>
      </c>
    </row>
    <row r="18" spans="1:12" x14ac:dyDescent="0.25">
      <c r="A18" s="164">
        <f t="shared" si="0"/>
        <v>18</v>
      </c>
      <c r="B18" s="165" t="s">
        <v>180</v>
      </c>
      <c r="C18" s="165" t="s">
        <v>171</v>
      </c>
      <c r="D18" s="178"/>
      <c r="E18" s="178">
        <v>35.909999999999997</v>
      </c>
      <c r="F18" s="178">
        <v>35.869</v>
      </c>
      <c r="G18" s="178">
        <v>37.192999999999998</v>
      </c>
      <c r="H18" s="175">
        <v>42.392000000000003</v>
      </c>
      <c r="I18" s="175">
        <v>41.776000000000003</v>
      </c>
      <c r="J18" s="175">
        <v>41.968000000000004</v>
      </c>
      <c r="K18" s="175">
        <v>42.576999999999998</v>
      </c>
      <c r="L18" s="175">
        <v>42.725000000000001</v>
      </c>
    </row>
    <row r="19" spans="1:12" x14ac:dyDescent="0.25">
      <c r="A19" s="164">
        <f t="shared" si="0"/>
        <v>19</v>
      </c>
      <c r="B19" s="165" t="s">
        <v>181</v>
      </c>
      <c r="C19" s="165" t="s">
        <v>171</v>
      </c>
      <c r="D19" s="178"/>
      <c r="E19" s="178">
        <v>4.5629999999999997</v>
      </c>
      <c r="F19" s="178">
        <v>4.3360000000000003</v>
      </c>
      <c r="G19" s="178">
        <v>4.1619999999999999</v>
      </c>
      <c r="H19" s="175">
        <v>4.1429999999999998</v>
      </c>
      <c r="I19" s="175">
        <v>4.0579999999999998</v>
      </c>
      <c r="J19" s="175">
        <v>4.077</v>
      </c>
      <c r="K19" s="175">
        <v>4.1109999999999998</v>
      </c>
      <c r="L19" s="175">
        <v>3.915</v>
      </c>
    </row>
    <row r="20" spans="1:12" x14ac:dyDescent="0.25">
      <c r="A20" s="164">
        <f t="shared" si="0"/>
        <v>20</v>
      </c>
      <c r="B20" s="165" t="s">
        <v>182</v>
      </c>
      <c r="C20" s="165" t="s">
        <v>171</v>
      </c>
      <c r="D20" s="178"/>
      <c r="E20" s="178">
        <v>4.1100000000000003</v>
      </c>
      <c r="F20" s="178">
        <v>4.7249999999999996</v>
      </c>
      <c r="G20" s="178">
        <v>5.4180000000000001</v>
      </c>
      <c r="H20" s="175">
        <v>4.5910000000000002</v>
      </c>
      <c r="I20" s="175">
        <v>4.8369999999999997</v>
      </c>
      <c r="J20" s="175">
        <v>5.4909999999999997</v>
      </c>
      <c r="K20" s="175">
        <v>5.899</v>
      </c>
      <c r="L20" s="175">
        <v>6.2990000000000004</v>
      </c>
    </row>
    <row r="21" spans="1:12" x14ac:dyDescent="0.25">
      <c r="A21" s="164">
        <f t="shared" si="0"/>
        <v>21</v>
      </c>
      <c r="B21" s="165" t="s">
        <v>183</v>
      </c>
      <c r="C21" s="165" t="s">
        <v>174</v>
      </c>
      <c r="D21" s="178"/>
      <c r="E21" s="178">
        <v>0</v>
      </c>
      <c r="F21" s="178">
        <v>0</v>
      </c>
      <c r="G21" s="178">
        <v>0</v>
      </c>
      <c r="H21" s="175">
        <v>0.17899999999999999</v>
      </c>
      <c r="I21" s="175">
        <v>2.7210000000000001</v>
      </c>
      <c r="J21" s="175">
        <v>4.4960000000000004</v>
      </c>
      <c r="K21" s="175">
        <v>6.3390000000000004</v>
      </c>
      <c r="L21" s="175">
        <v>8.0839999999999996</v>
      </c>
    </row>
    <row r="22" spans="1:12" x14ac:dyDescent="0.25">
      <c r="A22" s="164">
        <f t="shared" si="0"/>
        <v>22</v>
      </c>
      <c r="B22" s="165" t="s">
        <v>184</v>
      </c>
      <c r="C22" s="165" t="s">
        <v>174</v>
      </c>
      <c r="D22" s="178"/>
      <c r="E22" s="178">
        <v>0</v>
      </c>
      <c r="F22" s="178">
        <v>0</v>
      </c>
      <c r="G22" s="178">
        <v>0</v>
      </c>
      <c r="H22" s="175">
        <v>-1.365</v>
      </c>
      <c r="I22" s="175">
        <v>-0.75</v>
      </c>
      <c r="J22" s="175">
        <v>-0.57499999999999996</v>
      </c>
      <c r="K22" s="175">
        <v>-0.57499999999999996</v>
      </c>
      <c r="L22" s="175">
        <v>-0.57499999999999996</v>
      </c>
    </row>
    <row r="23" spans="1:12" x14ac:dyDescent="0.25">
      <c r="A23" s="164">
        <f t="shared" si="0"/>
        <v>23</v>
      </c>
      <c r="B23" s="170" t="s">
        <v>185</v>
      </c>
      <c r="C23" s="164"/>
      <c r="D23" s="178"/>
      <c r="E23" s="179">
        <v>94.271999999999991</v>
      </c>
      <c r="F23" s="179">
        <v>95.88</v>
      </c>
      <c r="G23" s="179">
        <v>99.812000000000012</v>
      </c>
      <c r="H23" s="180">
        <v>105.22499999999999</v>
      </c>
      <c r="I23" s="180">
        <v>110.634</v>
      </c>
      <c r="J23" s="180">
        <v>114.82099999999998</v>
      </c>
      <c r="K23" s="180">
        <v>119.267</v>
      </c>
      <c r="L23" s="180">
        <v>122.76600000000001</v>
      </c>
    </row>
    <row r="24" spans="1:12" x14ac:dyDescent="0.25">
      <c r="A24" s="164">
        <f t="shared" si="0"/>
        <v>24</v>
      </c>
      <c r="B24" s="165" t="s">
        <v>186</v>
      </c>
      <c r="C24" s="165" t="s">
        <v>174</v>
      </c>
      <c r="D24" s="178"/>
      <c r="E24" s="178">
        <v>0.32700000000000001</v>
      </c>
      <c r="F24" s="178">
        <v>0.44800000000000001</v>
      </c>
      <c r="G24" s="178">
        <v>0.34599999999999997</v>
      </c>
      <c r="H24" s="175">
        <v>0.41799999999999998</v>
      </c>
      <c r="I24" s="175">
        <v>0.42699999999999999</v>
      </c>
      <c r="J24" s="175">
        <v>0.47699999999999998</v>
      </c>
      <c r="K24" s="175">
        <v>0.48599999999999999</v>
      </c>
      <c r="L24" s="175">
        <v>0.50600000000000001</v>
      </c>
    </row>
    <row r="25" spans="1:12" x14ac:dyDescent="0.25">
      <c r="A25" s="164">
        <f t="shared" si="0"/>
        <v>25</v>
      </c>
      <c r="B25" s="170" t="s">
        <v>187</v>
      </c>
      <c r="C25" s="164"/>
      <c r="D25" s="178"/>
      <c r="E25" s="179">
        <v>0.41400000000001386</v>
      </c>
      <c r="F25" s="179">
        <v>1.8310000000000106</v>
      </c>
      <c r="G25" s="179">
        <v>4.0689999999999777</v>
      </c>
      <c r="H25" s="180">
        <v>2.541000000000003</v>
      </c>
      <c r="I25" s="180">
        <v>2.8280000000000096</v>
      </c>
      <c r="J25" s="180">
        <v>4.9790000000000312</v>
      </c>
      <c r="K25" s="180">
        <v>6.5040000000000093</v>
      </c>
      <c r="L25" s="180">
        <v>8.7929999999999922</v>
      </c>
    </row>
    <row r="26" spans="1:12" x14ac:dyDescent="0.25">
      <c r="A26" s="164">
        <f t="shared" si="0"/>
        <v>26</v>
      </c>
      <c r="B26" s="165" t="s">
        <v>188</v>
      </c>
      <c r="C26" s="165" t="s">
        <v>174</v>
      </c>
      <c r="D26" s="178"/>
      <c r="E26" s="178">
        <v>6.1959999999999997</v>
      </c>
      <c r="F26" s="178">
        <v>1.117</v>
      </c>
      <c r="G26" s="178">
        <v>6.33</v>
      </c>
      <c r="H26" s="175">
        <v>3.9380000000000002</v>
      </c>
      <c r="I26" s="175">
        <v>2.8769999999999998</v>
      </c>
      <c r="J26" s="175">
        <v>3.22</v>
      </c>
      <c r="K26" s="175">
        <v>3.54</v>
      </c>
      <c r="L26" s="175">
        <v>3.9830000000000001</v>
      </c>
    </row>
    <row r="27" spans="1:12" x14ac:dyDescent="0.25">
      <c r="A27" s="164">
        <f t="shared" si="0"/>
        <v>27</v>
      </c>
      <c r="B27" s="165" t="s">
        <v>189</v>
      </c>
      <c r="C27" s="165" t="s">
        <v>174</v>
      </c>
      <c r="D27" s="178"/>
      <c r="E27" s="178">
        <v>-1.649</v>
      </c>
      <c r="F27" s="178">
        <v>-8.6359999999999992</v>
      </c>
      <c r="G27" s="178">
        <v>1.321</v>
      </c>
      <c r="H27" s="175">
        <v>-0.73399999999999999</v>
      </c>
      <c r="I27" s="175">
        <v>-9.8000000000000004E-2</v>
      </c>
      <c r="J27" s="175">
        <v>-2.7E-2</v>
      </c>
      <c r="K27" s="175">
        <v>-4.3999999999999997E-2</v>
      </c>
      <c r="L27" s="175">
        <v>-0.03</v>
      </c>
    </row>
    <row r="28" spans="1:12" x14ac:dyDescent="0.25">
      <c r="A28" s="164">
        <f t="shared" si="0"/>
        <v>28</v>
      </c>
      <c r="B28" s="170" t="s">
        <v>190</v>
      </c>
      <c r="C28" s="164"/>
      <c r="D28" s="178"/>
      <c r="E28" s="179">
        <v>4.5469999999999997</v>
      </c>
      <c r="F28" s="179">
        <v>-7.5189999999999992</v>
      </c>
      <c r="G28" s="179">
        <v>7.6509999999999998</v>
      </c>
      <c r="H28" s="180">
        <v>3.2040000000000002</v>
      </c>
      <c r="I28" s="180">
        <v>2.7789999999999999</v>
      </c>
      <c r="J28" s="180">
        <v>3.1930000000000001</v>
      </c>
      <c r="K28" s="180">
        <v>3.496</v>
      </c>
      <c r="L28" s="180">
        <v>3.9530000000000003</v>
      </c>
    </row>
    <row r="29" spans="1:12" x14ac:dyDescent="0.25">
      <c r="A29" s="164">
        <f t="shared" si="0"/>
        <v>29</v>
      </c>
      <c r="B29" s="165" t="s">
        <v>191</v>
      </c>
      <c r="C29" s="165" t="s">
        <v>174</v>
      </c>
      <c r="D29" s="178"/>
      <c r="E29" s="178">
        <v>0.218</v>
      </c>
      <c r="F29" s="178">
        <v>-1.2E-2</v>
      </c>
      <c r="G29" s="178">
        <v>-2.7E-2</v>
      </c>
      <c r="H29" s="175">
        <v>4.2999999999999997E-2</v>
      </c>
      <c r="I29" s="175">
        <v>1.7000000000000001E-2</v>
      </c>
      <c r="J29" s="175">
        <v>4.0000000000000001E-3</v>
      </c>
      <c r="K29" s="175">
        <v>4.0000000000000001E-3</v>
      </c>
      <c r="L29" s="175">
        <v>6.0000000000000001E-3</v>
      </c>
    </row>
    <row r="30" spans="1:12" x14ac:dyDescent="0.25">
      <c r="A30" s="164">
        <f t="shared" si="0"/>
        <v>30</v>
      </c>
      <c r="B30" s="170" t="s">
        <v>192</v>
      </c>
      <c r="C30" s="164"/>
      <c r="D30" s="178"/>
      <c r="E30" s="179">
        <v>4.3289999999999997</v>
      </c>
      <c r="F30" s="179">
        <v>-7.5069999999999997</v>
      </c>
      <c r="G30" s="179">
        <v>7.6779999999999999</v>
      </c>
      <c r="H30" s="180">
        <v>3.161</v>
      </c>
      <c r="I30" s="180">
        <v>2.762</v>
      </c>
      <c r="J30" s="180">
        <v>3.1890000000000001</v>
      </c>
      <c r="K30" s="180">
        <v>3.492</v>
      </c>
      <c r="L30" s="180">
        <v>3.9470000000000005</v>
      </c>
    </row>
    <row r="31" spans="1:12" x14ac:dyDescent="0.25">
      <c r="A31" s="164">
        <f t="shared" si="0"/>
        <v>31</v>
      </c>
      <c r="B31" s="165" t="s">
        <v>193</v>
      </c>
      <c r="C31" s="165" t="s">
        <v>174</v>
      </c>
      <c r="D31" s="178"/>
      <c r="E31" s="178">
        <v>1.028</v>
      </c>
      <c r="F31" s="178">
        <v>0.307</v>
      </c>
      <c r="G31" s="178">
        <v>0.56999999999999995</v>
      </c>
      <c r="H31" s="175">
        <v>0.214</v>
      </c>
      <c r="I31" s="175">
        <v>0.249</v>
      </c>
      <c r="J31" s="175">
        <v>0.28299999999999997</v>
      </c>
      <c r="K31" s="175">
        <v>0.30099999999999999</v>
      </c>
      <c r="L31" s="175">
        <v>0.309</v>
      </c>
    </row>
    <row r="32" spans="1:12" x14ac:dyDescent="0.25">
      <c r="A32" s="164">
        <f t="shared" si="0"/>
        <v>32</v>
      </c>
      <c r="B32" s="170" t="s">
        <v>194</v>
      </c>
      <c r="C32" s="165" t="s">
        <v>171</v>
      </c>
      <c r="D32" s="178"/>
      <c r="E32" s="181">
        <v>5.7709999999999999</v>
      </c>
      <c r="F32" s="181">
        <v>-5.3689999999999998</v>
      </c>
      <c r="G32" s="181">
        <v>12.317</v>
      </c>
      <c r="H32" s="182">
        <v>5.9160000000000004</v>
      </c>
      <c r="I32" s="182">
        <v>5.8390000000000004</v>
      </c>
      <c r="J32" s="182">
        <v>8.4510000000000005</v>
      </c>
      <c r="K32" s="182">
        <v>10.297000000000001</v>
      </c>
      <c r="L32" s="182">
        <v>13.048999999999999</v>
      </c>
    </row>
    <row r="33" spans="1:12" x14ac:dyDescent="0.25">
      <c r="A33" s="164">
        <f t="shared" si="0"/>
        <v>33</v>
      </c>
      <c r="B33" s="170" t="s">
        <v>195</v>
      </c>
      <c r="C33" s="171"/>
      <c r="D33" s="178"/>
      <c r="E33" s="183" t="s">
        <v>196</v>
      </c>
      <c r="F33" s="183" t="s">
        <v>196</v>
      </c>
      <c r="G33" s="183" t="s">
        <v>196</v>
      </c>
      <c r="H33" s="184" t="s">
        <v>196</v>
      </c>
      <c r="I33" s="184" t="s">
        <v>196</v>
      </c>
      <c r="J33" s="184" t="s">
        <v>196</v>
      </c>
      <c r="K33" s="184" t="s">
        <v>196</v>
      </c>
      <c r="L33" s="184" t="s">
        <v>196</v>
      </c>
    </row>
    <row r="34" spans="1:12" x14ac:dyDescent="0.25">
      <c r="A34" s="164">
        <f t="shared" si="0"/>
        <v>34</v>
      </c>
      <c r="B34" s="170" t="s">
        <v>197</v>
      </c>
      <c r="C34" s="171"/>
      <c r="D34" s="178"/>
      <c r="E34" s="181">
        <v>6.3159999999999998</v>
      </c>
      <c r="F34" s="181">
        <v>-4.9329999999999998</v>
      </c>
      <c r="G34" s="181">
        <v>12.635999999999999</v>
      </c>
      <c r="H34" s="182">
        <v>6.3769999999999998</v>
      </c>
      <c r="I34" s="182">
        <v>6.2830000000000004</v>
      </c>
      <c r="J34" s="182">
        <v>8.9320000000000004</v>
      </c>
      <c r="K34" s="182">
        <v>10.787000000000001</v>
      </c>
      <c r="L34" s="182">
        <v>13.561</v>
      </c>
    </row>
    <row r="35" spans="1:12" x14ac:dyDescent="0.25">
      <c r="A35" s="164">
        <f t="shared" si="0"/>
        <v>35</v>
      </c>
      <c r="B35" s="170" t="s">
        <v>198</v>
      </c>
      <c r="C35" s="164"/>
      <c r="D35" s="178"/>
      <c r="E35" s="178"/>
      <c r="F35" s="178"/>
      <c r="G35" s="178"/>
      <c r="H35" s="178"/>
      <c r="I35" s="178"/>
      <c r="J35" s="178"/>
      <c r="K35" s="178"/>
      <c r="L35" s="178"/>
    </row>
    <row r="36" spans="1:12" x14ac:dyDescent="0.25">
      <c r="A36" s="164">
        <f t="shared" si="0"/>
        <v>36</v>
      </c>
      <c r="B36" s="165" t="s">
        <v>131</v>
      </c>
      <c r="C36" s="165" t="s">
        <v>174</v>
      </c>
      <c r="D36" s="178"/>
      <c r="E36" s="178">
        <v>28.231000000000002</v>
      </c>
      <c r="F36" s="178">
        <v>28.901</v>
      </c>
      <c r="G36" s="178">
        <v>30.599</v>
      </c>
      <c r="H36" s="175">
        <v>31.646000000000001</v>
      </c>
      <c r="I36" s="175">
        <v>34.216999999999999</v>
      </c>
      <c r="J36" s="175">
        <v>35.771000000000001</v>
      </c>
      <c r="K36" s="175">
        <v>37.295999999999999</v>
      </c>
      <c r="L36" s="175">
        <v>38.976999999999997</v>
      </c>
    </row>
    <row r="37" spans="1:12" x14ac:dyDescent="0.25">
      <c r="A37" s="164">
        <f t="shared" si="0"/>
        <v>37</v>
      </c>
      <c r="B37" s="165" t="s">
        <v>199</v>
      </c>
      <c r="C37" s="165" t="s">
        <v>174</v>
      </c>
      <c r="D37" s="178"/>
      <c r="E37" s="178">
        <v>0.373</v>
      </c>
      <c r="F37" s="178">
        <v>0.28599999999999998</v>
      </c>
      <c r="G37" s="178">
        <v>0.23100000000000001</v>
      </c>
      <c r="H37" s="175">
        <v>0.16300000000000001</v>
      </c>
      <c r="I37" s="175">
        <v>0.16200000000000001</v>
      </c>
      <c r="J37" s="175">
        <v>0.192</v>
      </c>
      <c r="K37" s="175">
        <v>0.224</v>
      </c>
      <c r="L37" s="175">
        <v>0.247</v>
      </c>
    </row>
    <row r="38" spans="1:12" x14ac:dyDescent="0.25">
      <c r="A38" s="164">
        <f t="shared" si="0"/>
        <v>38</v>
      </c>
      <c r="B38" s="165" t="s">
        <v>30</v>
      </c>
      <c r="C38" s="165" t="s">
        <v>174</v>
      </c>
      <c r="D38" s="178"/>
      <c r="E38" s="178">
        <v>14.696</v>
      </c>
      <c r="F38" s="178">
        <v>15.16</v>
      </c>
      <c r="G38" s="178">
        <v>15.645</v>
      </c>
      <c r="H38" s="175">
        <v>16.614000000000001</v>
      </c>
      <c r="I38" s="175">
        <v>16.591999999999999</v>
      </c>
      <c r="J38" s="175">
        <v>16.638999999999999</v>
      </c>
      <c r="K38" s="175">
        <v>16.565999999999999</v>
      </c>
      <c r="L38" s="175">
        <v>16.667000000000002</v>
      </c>
    </row>
    <row r="39" spans="1:12" x14ac:dyDescent="0.25">
      <c r="A39" s="164">
        <f t="shared" si="0"/>
        <v>39</v>
      </c>
      <c r="B39" s="165" t="s">
        <v>28</v>
      </c>
      <c r="C39" s="165" t="s">
        <v>174</v>
      </c>
      <c r="D39" s="178"/>
      <c r="E39" s="178">
        <v>13.537000000000001</v>
      </c>
      <c r="F39" s="178">
        <v>13.808999999999999</v>
      </c>
      <c r="G39" s="178">
        <v>14.112</v>
      </c>
      <c r="H39" s="175">
        <v>15.206</v>
      </c>
      <c r="I39" s="175">
        <v>15.478999999999999</v>
      </c>
      <c r="J39" s="175">
        <v>15.648</v>
      </c>
      <c r="K39" s="175">
        <v>15.932</v>
      </c>
      <c r="L39" s="175">
        <v>15.994999999999999</v>
      </c>
    </row>
    <row r="40" spans="1:12" x14ac:dyDescent="0.25">
      <c r="A40" s="164">
        <f t="shared" si="0"/>
        <v>40</v>
      </c>
      <c r="B40" s="165" t="s">
        <v>145</v>
      </c>
      <c r="C40" s="165" t="s">
        <v>174</v>
      </c>
      <c r="D40" s="178"/>
      <c r="E40" s="178">
        <v>3.8980000000000001</v>
      </c>
      <c r="F40" s="178">
        <v>3.95</v>
      </c>
      <c r="G40" s="178">
        <v>3.762</v>
      </c>
      <c r="H40" s="175">
        <v>5.3920000000000003</v>
      </c>
      <c r="I40" s="175">
        <v>4.4939999999999998</v>
      </c>
      <c r="J40" s="175">
        <v>4.4400000000000004</v>
      </c>
      <c r="K40" s="175">
        <v>4.1890000000000001</v>
      </c>
      <c r="L40" s="175">
        <v>4.149</v>
      </c>
    </row>
    <row r="41" spans="1:12" x14ac:dyDescent="0.25">
      <c r="A41" s="164">
        <f t="shared" si="0"/>
        <v>41</v>
      </c>
      <c r="B41" s="165" t="s">
        <v>31</v>
      </c>
      <c r="C41" s="165" t="s">
        <v>174</v>
      </c>
      <c r="D41" s="178"/>
      <c r="E41" s="178">
        <v>3.73</v>
      </c>
      <c r="F41" s="178">
        <v>3.8940000000000001</v>
      </c>
      <c r="G41" s="178">
        <v>4.1609999999999996</v>
      </c>
      <c r="H41" s="175">
        <v>4.51</v>
      </c>
      <c r="I41" s="175">
        <v>4.5359999999999996</v>
      </c>
      <c r="J41" s="175">
        <v>4.5839999999999996</v>
      </c>
      <c r="K41" s="175">
        <v>4.6070000000000002</v>
      </c>
      <c r="L41" s="175">
        <v>4.657</v>
      </c>
    </row>
    <row r="42" spans="1:12" x14ac:dyDescent="0.25">
      <c r="A42" s="164">
        <f t="shared" si="0"/>
        <v>42</v>
      </c>
      <c r="B42" s="165" t="s">
        <v>27</v>
      </c>
      <c r="C42" s="165" t="s">
        <v>174</v>
      </c>
      <c r="D42" s="178"/>
      <c r="E42" s="178">
        <v>1.917</v>
      </c>
      <c r="F42" s="178">
        <v>2.0129999999999999</v>
      </c>
      <c r="G42" s="178">
        <v>2.145</v>
      </c>
      <c r="H42" s="175">
        <v>2.3090000000000002</v>
      </c>
      <c r="I42" s="175">
        <v>2.3540000000000001</v>
      </c>
      <c r="J42" s="175">
        <v>2.3639999999999999</v>
      </c>
      <c r="K42" s="175">
        <v>2.3740000000000001</v>
      </c>
      <c r="L42" s="175">
        <v>2.38</v>
      </c>
    </row>
    <row r="43" spans="1:12" x14ac:dyDescent="0.25">
      <c r="A43" s="164">
        <f t="shared" si="0"/>
        <v>43</v>
      </c>
      <c r="B43" s="165" t="s">
        <v>200</v>
      </c>
      <c r="C43" s="165" t="s">
        <v>174</v>
      </c>
      <c r="D43" s="178"/>
      <c r="E43" s="178">
        <v>9.2789999999999999</v>
      </c>
      <c r="F43" s="178">
        <v>9.4</v>
      </c>
      <c r="G43" s="178">
        <v>9.36</v>
      </c>
      <c r="H43" s="175">
        <v>9.7149999999999999</v>
      </c>
      <c r="I43" s="175">
        <v>10.01</v>
      </c>
      <c r="J43" s="175">
        <v>10.231999999999999</v>
      </c>
      <c r="K43" s="175">
        <v>11.138999999999999</v>
      </c>
      <c r="L43" s="175">
        <v>11.06</v>
      </c>
    </row>
    <row r="44" spans="1:12" x14ac:dyDescent="0.25">
      <c r="A44" s="164">
        <f t="shared" si="0"/>
        <v>44</v>
      </c>
      <c r="B44" s="165" t="s">
        <v>121</v>
      </c>
      <c r="C44" s="165" t="s">
        <v>174</v>
      </c>
      <c r="D44" s="178"/>
      <c r="E44" s="178">
        <v>8.2349999999999994</v>
      </c>
      <c r="F44" s="178">
        <v>7.4279999999999999</v>
      </c>
      <c r="G44" s="178">
        <v>8.452</v>
      </c>
      <c r="H44" s="175">
        <v>8.4049999999999994</v>
      </c>
      <c r="I44" s="175">
        <v>8.7010000000000005</v>
      </c>
      <c r="J44" s="175">
        <v>9.1229999999999993</v>
      </c>
      <c r="K44" s="175">
        <v>9.1389999999999993</v>
      </c>
      <c r="L44" s="175">
        <v>9.24</v>
      </c>
    </row>
    <row r="45" spans="1:12" x14ac:dyDescent="0.25">
      <c r="A45" s="164">
        <f t="shared" si="0"/>
        <v>45</v>
      </c>
      <c r="B45" s="165" t="s">
        <v>125</v>
      </c>
      <c r="C45" s="165" t="s">
        <v>174</v>
      </c>
      <c r="D45" s="178"/>
      <c r="E45" s="178">
        <v>2.198</v>
      </c>
      <c r="F45" s="178">
        <v>2.21</v>
      </c>
      <c r="G45" s="178">
        <v>2.4329999999999998</v>
      </c>
      <c r="H45" s="175">
        <v>2.387</v>
      </c>
      <c r="I45" s="175">
        <v>2.4319999999999999</v>
      </c>
      <c r="J45" s="175">
        <v>2.4540000000000002</v>
      </c>
      <c r="K45" s="175">
        <v>2.4889999999999999</v>
      </c>
      <c r="L45" s="175">
        <v>2.5609999999999999</v>
      </c>
    </row>
    <row r="46" spans="1:12" x14ac:dyDescent="0.25">
      <c r="A46" s="164">
        <f t="shared" si="0"/>
        <v>46</v>
      </c>
      <c r="B46" s="165" t="s">
        <v>130</v>
      </c>
      <c r="C46" s="165" t="s">
        <v>174</v>
      </c>
      <c r="D46" s="178"/>
      <c r="E46" s="178">
        <v>1.74</v>
      </c>
      <c r="F46" s="178">
        <v>1.8520000000000001</v>
      </c>
      <c r="G46" s="178">
        <v>1.8859999999999999</v>
      </c>
      <c r="H46" s="175">
        <v>2.0859999999999999</v>
      </c>
      <c r="I46" s="175">
        <v>2.0259999999999998</v>
      </c>
      <c r="J46" s="175">
        <v>2.028</v>
      </c>
      <c r="K46" s="175">
        <v>2.0150000000000001</v>
      </c>
      <c r="L46" s="175">
        <v>2.004</v>
      </c>
    </row>
    <row r="47" spans="1:12" x14ac:dyDescent="0.25">
      <c r="A47" s="164">
        <f t="shared" si="0"/>
        <v>47</v>
      </c>
      <c r="B47" s="165" t="s">
        <v>126</v>
      </c>
      <c r="C47" s="165" t="s">
        <v>174</v>
      </c>
      <c r="D47" s="178"/>
      <c r="E47" s="178">
        <v>1.1140000000000001</v>
      </c>
      <c r="F47" s="178">
        <v>1.6</v>
      </c>
      <c r="G47" s="178">
        <v>1.82</v>
      </c>
      <c r="H47" s="175">
        <v>2.133</v>
      </c>
      <c r="I47" s="175">
        <v>2.129</v>
      </c>
      <c r="J47" s="175">
        <v>1.9850000000000001</v>
      </c>
      <c r="K47" s="175">
        <v>2.0369999999999999</v>
      </c>
      <c r="L47" s="175">
        <v>2.0209999999999999</v>
      </c>
    </row>
    <row r="48" spans="1:12" x14ac:dyDescent="0.25">
      <c r="A48" s="164">
        <f t="shared" si="0"/>
        <v>48</v>
      </c>
      <c r="B48" s="165" t="s">
        <v>146</v>
      </c>
      <c r="C48" s="165" t="s">
        <v>174</v>
      </c>
      <c r="D48" s="178"/>
      <c r="E48" s="178">
        <v>0.61599999999999999</v>
      </c>
      <c r="F48" s="178">
        <v>0.57999999999999996</v>
      </c>
      <c r="G48" s="178">
        <v>0.86299999999999999</v>
      </c>
      <c r="H48" s="175">
        <v>1.29</v>
      </c>
      <c r="I48" s="175">
        <v>0.98899999999999999</v>
      </c>
      <c r="J48" s="175">
        <v>1.0209999999999999</v>
      </c>
      <c r="K48" s="175">
        <v>1.0429999999999999</v>
      </c>
      <c r="L48" s="175">
        <v>1.042</v>
      </c>
    </row>
    <row r="49" spans="1:12" x14ac:dyDescent="0.25">
      <c r="A49" s="164">
        <f t="shared" si="0"/>
        <v>49</v>
      </c>
      <c r="B49" s="165" t="s">
        <v>129</v>
      </c>
      <c r="C49" s="165" t="s">
        <v>174</v>
      </c>
      <c r="D49" s="178"/>
      <c r="E49" s="178">
        <v>0.14499999999999999</v>
      </c>
      <c r="F49" s="178">
        <v>0.46100000000000002</v>
      </c>
      <c r="G49" s="178">
        <v>0.18099999999999999</v>
      </c>
      <c r="H49" s="175">
        <v>0.41199999999999998</v>
      </c>
      <c r="I49" s="175">
        <v>0.48399999999999999</v>
      </c>
      <c r="J49" s="175">
        <v>0.34200000000000003</v>
      </c>
      <c r="K49" s="175">
        <v>0.34200000000000003</v>
      </c>
      <c r="L49" s="175">
        <v>0.34200000000000003</v>
      </c>
    </row>
    <row r="50" spans="1:12" x14ac:dyDescent="0.25">
      <c r="A50" s="164">
        <f t="shared" si="0"/>
        <v>50</v>
      </c>
      <c r="B50" s="165" t="s">
        <v>29</v>
      </c>
      <c r="C50" s="165" t="s">
        <v>171</v>
      </c>
      <c r="D50" s="178"/>
      <c r="E50" s="178">
        <v>4.5629999999999997</v>
      </c>
      <c r="F50" s="178">
        <v>4.3360000000000003</v>
      </c>
      <c r="G50" s="178">
        <v>4.1619999999999999</v>
      </c>
      <c r="H50" s="175">
        <v>4.1429999999999998</v>
      </c>
      <c r="I50" s="175">
        <v>4.0579999999999998</v>
      </c>
      <c r="J50" s="175">
        <v>4.077</v>
      </c>
      <c r="K50" s="175">
        <v>4.1109999999999998</v>
      </c>
      <c r="L50" s="175">
        <v>3.915</v>
      </c>
    </row>
    <row r="51" spans="1:12" x14ac:dyDescent="0.25">
      <c r="A51" s="164">
        <f t="shared" si="0"/>
        <v>51</v>
      </c>
      <c r="B51" s="170" t="s">
        <v>201</v>
      </c>
      <c r="C51" s="164"/>
      <c r="D51" s="178"/>
      <c r="E51" s="179">
        <v>94.271999999999991</v>
      </c>
      <c r="F51" s="179">
        <v>95.88</v>
      </c>
      <c r="G51" s="179">
        <v>99.811999999999998</v>
      </c>
      <c r="H51" s="180">
        <v>105.22500000000001</v>
      </c>
      <c r="I51" s="180">
        <v>110.63399999999999</v>
      </c>
      <c r="J51" s="180">
        <v>114.821</v>
      </c>
      <c r="K51" s="180">
        <v>119.26700000000001</v>
      </c>
      <c r="L51" s="180">
        <v>122.76599999999999</v>
      </c>
    </row>
    <row r="52" spans="1:12" x14ac:dyDescent="0.25">
      <c r="A52" s="164">
        <f t="shared" si="0"/>
        <v>52</v>
      </c>
      <c r="B52" s="170" t="s">
        <v>202</v>
      </c>
      <c r="C52" s="164"/>
      <c r="D52" s="178"/>
      <c r="E52" s="178"/>
      <c r="F52" s="178"/>
      <c r="G52" s="178"/>
      <c r="H52" s="178"/>
      <c r="I52" s="178"/>
      <c r="J52" s="178"/>
      <c r="K52" s="178"/>
      <c r="L52" s="178"/>
    </row>
    <row r="53" spans="1:12" x14ac:dyDescent="0.25">
      <c r="A53" s="164">
        <f t="shared" si="0"/>
        <v>53</v>
      </c>
      <c r="B53" s="165" t="s">
        <v>131</v>
      </c>
      <c r="C53" s="165" t="s">
        <v>174</v>
      </c>
      <c r="D53" s="178"/>
      <c r="E53" s="178">
        <v>23.523</v>
      </c>
      <c r="F53" s="178">
        <v>24.081</v>
      </c>
      <c r="G53" s="178">
        <v>25.294</v>
      </c>
      <c r="H53" s="175">
        <v>26.190999999999999</v>
      </c>
      <c r="I53" s="175">
        <v>28.728999999999999</v>
      </c>
      <c r="J53" s="175">
        <v>29.792000000000002</v>
      </c>
      <c r="K53" s="175">
        <v>30.913</v>
      </c>
      <c r="L53" s="175">
        <v>32.180999999999997</v>
      </c>
    </row>
    <row r="54" spans="1:12" x14ac:dyDescent="0.25">
      <c r="A54" s="164">
        <f t="shared" si="0"/>
        <v>54</v>
      </c>
      <c r="B54" s="165" t="s">
        <v>199</v>
      </c>
      <c r="C54" s="165" t="s">
        <v>174</v>
      </c>
      <c r="D54" s="178"/>
      <c r="E54" s="178">
        <v>0.35799999999999998</v>
      </c>
      <c r="F54" s="178">
        <v>0.27100000000000002</v>
      </c>
      <c r="G54" s="178">
        <v>0.217</v>
      </c>
      <c r="H54" s="175">
        <v>0.15</v>
      </c>
      <c r="I54" s="175">
        <v>0.14899999999999999</v>
      </c>
      <c r="J54" s="175">
        <v>0.17899999999999999</v>
      </c>
      <c r="K54" s="175">
        <v>0.21099999999999999</v>
      </c>
      <c r="L54" s="175">
        <v>0.23400000000000001</v>
      </c>
    </row>
    <row r="55" spans="1:12" x14ac:dyDescent="0.25">
      <c r="A55" s="164">
        <f t="shared" si="0"/>
        <v>55</v>
      </c>
      <c r="B55" s="165" t="s">
        <v>30</v>
      </c>
      <c r="C55" s="165" t="s">
        <v>174</v>
      </c>
      <c r="D55" s="178"/>
      <c r="E55" s="178">
        <v>15.058</v>
      </c>
      <c r="F55" s="178">
        <v>15.625999999999999</v>
      </c>
      <c r="G55" s="178">
        <v>16.222999999999999</v>
      </c>
      <c r="H55" s="175">
        <v>17.184000000000001</v>
      </c>
      <c r="I55" s="175">
        <v>17.25</v>
      </c>
      <c r="J55" s="175">
        <v>17.257000000000001</v>
      </c>
      <c r="K55" s="175">
        <v>17.213000000000001</v>
      </c>
      <c r="L55" s="175">
        <v>17.334</v>
      </c>
    </row>
    <row r="56" spans="1:12" x14ac:dyDescent="0.25">
      <c r="A56" s="164">
        <f t="shared" si="0"/>
        <v>56</v>
      </c>
      <c r="B56" s="165" t="s">
        <v>28</v>
      </c>
      <c r="C56" s="165" t="s">
        <v>174</v>
      </c>
      <c r="D56" s="178"/>
      <c r="E56" s="178">
        <v>12.879</v>
      </c>
      <c r="F56" s="178">
        <v>13.157999999999999</v>
      </c>
      <c r="G56" s="178">
        <v>13.281000000000001</v>
      </c>
      <c r="H56" s="175">
        <v>14.397</v>
      </c>
      <c r="I56" s="175">
        <v>14.641</v>
      </c>
      <c r="J56" s="175">
        <v>14.807</v>
      </c>
      <c r="K56" s="175">
        <v>15.092000000000001</v>
      </c>
      <c r="L56" s="175">
        <v>15.151</v>
      </c>
    </row>
    <row r="57" spans="1:12" x14ac:dyDescent="0.25">
      <c r="A57" s="164">
        <f t="shared" si="0"/>
        <v>57</v>
      </c>
      <c r="B57" s="165" t="s">
        <v>145</v>
      </c>
      <c r="C57" s="165" t="s">
        <v>174</v>
      </c>
      <c r="D57" s="178"/>
      <c r="E57" s="178">
        <v>4.1340000000000003</v>
      </c>
      <c r="F57" s="178">
        <v>4.1020000000000003</v>
      </c>
      <c r="G57" s="178">
        <v>3.9569999999999999</v>
      </c>
      <c r="H57" s="175">
        <v>5.4770000000000003</v>
      </c>
      <c r="I57" s="175">
        <v>4.7270000000000003</v>
      </c>
      <c r="J57" s="175">
        <v>4.657</v>
      </c>
      <c r="K57" s="175">
        <v>4.4379999999999997</v>
      </c>
      <c r="L57" s="175">
        <v>4.4160000000000004</v>
      </c>
    </row>
    <row r="58" spans="1:12" x14ac:dyDescent="0.25">
      <c r="A58" s="164">
        <f t="shared" si="0"/>
        <v>58</v>
      </c>
      <c r="B58" s="165" t="s">
        <v>31</v>
      </c>
      <c r="C58" s="165" t="s">
        <v>174</v>
      </c>
      <c r="D58" s="178"/>
      <c r="E58" s="178">
        <v>3.5150000000000001</v>
      </c>
      <c r="F58" s="178">
        <v>3.6480000000000001</v>
      </c>
      <c r="G58" s="178">
        <v>3.8820000000000001</v>
      </c>
      <c r="H58" s="175">
        <v>4.1459999999999999</v>
      </c>
      <c r="I58" s="175">
        <v>4.17</v>
      </c>
      <c r="J58" s="175">
        <v>4.2080000000000002</v>
      </c>
      <c r="K58" s="175">
        <v>4.2439999999999998</v>
      </c>
      <c r="L58" s="175">
        <v>4.2649999999999997</v>
      </c>
    </row>
    <row r="59" spans="1:12" x14ac:dyDescent="0.25">
      <c r="A59" s="164">
        <f t="shared" si="0"/>
        <v>59</v>
      </c>
      <c r="B59" s="165" t="s">
        <v>27</v>
      </c>
      <c r="C59" s="165" t="s">
        <v>174</v>
      </c>
      <c r="D59" s="178"/>
      <c r="E59" s="178">
        <v>1.9610000000000001</v>
      </c>
      <c r="F59" s="178">
        <v>2.0259999999999998</v>
      </c>
      <c r="G59" s="178">
        <v>2.1459999999999999</v>
      </c>
      <c r="H59" s="175">
        <v>2.3180000000000001</v>
      </c>
      <c r="I59" s="175">
        <v>2.363</v>
      </c>
      <c r="J59" s="175">
        <v>2.3730000000000002</v>
      </c>
      <c r="K59" s="175">
        <v>2.383</v>
      </c>
      <c r="L59" s="175">
        <v>2.3889999999999998</v>
      </c>
    </row>
    <row r="60" spans="1:12" x14ac:dyDescent="0.25">
      <c r="A60" s="164">
        <f t="shared" si="0"/>
        <v>60</v>
      </c>
      <c r="B60" s="165" t="s">
        <v>200</v>
      </c>
      <c r="C60" s="165" t="s">
        <v>174</v>
      </c>
      <c r="D60" s="178"/>
      <c r="E60" s="178">
        <v>2.2909999999999999</v>
      </c>
      <c r="F60" s="178">
        <v>2.1779999999999999</v>
      </c>
      <c r="G60" s="178">
        <v>2.1760000000000002</v>
      </c>
      <c r="H60" s="175">
        <v>2.4860000000000002</v>
      </c>
      <c r="I60" s="175">
        <v>2.35</v>
      </c>
      <c r="J60" s="175">
        <v>2.2799999999999998</v>
      </c>
      <c r="K60" s="175">
        <v>2.8130000000000002</v>
      </c>
      <c r="L60" s="175">
        <v>2.423</v>
      </c>
    </row>
    <row r="61" spans="1:12" x14ac:dyDescent="0.25">
      <c r="A61" s="164">
        <f t="shared" si="0"/>
        <v>61</v>
      </c>
      <c r="B61" s="165" t="s">
        <v>121</v>
      </c>
      <c r="C61" s="165" t="s">
        <v>174</v>
      </c>
      <c r="D61" s="178"/>
      <c r="E61" s="178">
        <v>2.2280000000000002</v>
      </c>
      <c r="F61" s="178">
        <v>2.1070000000000002</v>
      </c>
      <c r="G61" s="178">
        <v>2.544</v>
      </c>
      <c r="H61" s="175">
        <v>2.9409999999999998</v>
      </c>
      <c r="I61" s="175">
        <v>2.8170000000000002</v>
      </c>
      <c r="J61" s="175">
        <v>2.8039999999999998</v>
      </c>
      <c r="K61" s="175">
        <v>2.7890000000000001</v>
      </c>
      <c r="L61" s="175">
        <v>2.73</v>
      </c>
    </row>
    <row r="62" spans="1:12" x14ac:dyDescent="0.25">
      <c r="A62" s="164">
        <f t="shared" si="0"/>
        <v>62</v>
      </c>
      <c r="B62" s="165" t="s">
        <v>125</v>
      </c>
      <c r="C62" s="165" t="s">
        <v>174</v>
      </c>
      <c r="D62" s="178"/>
      <c r="E62" s="178">
        <v>0.77800000000000002</v>
      </c>
      <c r="F62" s="178">
        <v>0.78700000000000003</v>
      </c>
      <c r="G62" s="178">
        <v>0.85</v>
      </c>
      <c r="H62" s="175">
        <v>0.879</v>
      </c>
      <c r="I62" s="175">
        <v>0.88</v>
      </c>
      <c r="J62" s="175">
        <v>0.84</v>
      </c>
      <c r="K62" s="175">
        <v>0.81100000000000005</v>
      </c>
      <c r="L62" s="175">
        <v>0.82399999999999995</v>
      </c>
    </row>
    <row r="63" spans="1:12" x14ac:dyDescent="0.25">
      <c r="A63" s="164">
        <f t="shared" si="0"/>
        <v>63</v>
      </c>
      <c r="B63" s="165" t="s">
        <v>130</v>
      </c>
      <c r="C63" s="165" t="s">
        <v>174</v>
      </c>
      <c r="D63" s="178"/>
      <c r="E63" s="178">
        <v>0.66700000000000004</v>
      </c>
      <c r="F63" s="178">
        <v>0.749</v>
      </c>
      <c r="G63" s="178">
        <v>0.64400000000000002</v>
      </c>
      <c r="H63" s="175">
        <v>0.79200000000000004</v>
      </c>
      <c r="I63" s="175">
        <v>0.70599999999999996</v>
      </c>
      <c r="J63" s="175">
        <v>0.67800000000000005</v>
      </c>
      <c r="K63" s="175">
        <v>0.64800000000000002</v>
      </c>
      <c r="L63" s="175">
        <v>0.64800000000000002</v>
      </c>
    </row>
    <row r="64" spans="1:12" x14ac:dyDescent="0.25">
      <c r="A64" s="164">
        <f t="shared" si="0"/>
        <v>64</v>
      </c>
      <c r="B64" s="165" t="s">
        <v>126</v>
      </c>
      <c r="C64" s="165" t="s">
        <v>174</v>
      </c>
      <c r="D64" s="178"/>
      <c r="E64" s="178">
        <v>0.32</v>
      </c>
      <c r="F64" s="178">
        <v>0.55800000000000005</v>
      </c>
      <c r="G64" s="178">
        <v>0.53900000000000003</v>
      </c>
      <c r="H64" s="175">
        <v>0.66200000000000003</v>
      </c>
      <c r="I64" s="175">
        <v>0.622</v>
      </c>
      <c r="J64" s="175">
        <v>0.54800000000000004</v>
      </c>
      <c r="K64" s="175">
        <v>0.51500000000000001</v>
      </c>
      <c r="L64" s="175">
        <v>0.51100000000000001</v>
      </c>
    </row>
    <row r="65" spans="1:12" x14ac:dyDescent="0.25">
      <c r="A65" s="164">
        <f t="shared" si="0"/>
        <v>65</v>
      </c>
      <c r="B65" s="165" t="s">
        <v>146</v>
      </c>
      <c r="C65" s="165" t="s">
        <v>174</v>
      </c>
      <c r="D65" s="178"/>
      <c r="E65" s="178">
        <v>0.72299999999999998</v>
      </c>
      <c r="F65" s="178">
        <v>0.58699999999999997</v>
      </c>
      <c r="G65" s="178">
        <v>0.871</v>
      </c>
      <c r="H65" s="175">
        <v>1.2909999999999999</v>
      </c>
      <c r="I65" s="175">
        <v>0.98899999999999999</v>
      </c>
      <c r="J65" s="175">
        <v>1.022</v>
      </c>
      <c r="K65" s="175">
        <v>1.0429999999999999</v>
      </c>
      <c r="L65" s="175">
        <v>1.0429999999999999</v>
      </c>
    </row>
    <row r="66" spans="1:12" x14ac:dyDescent="0.25">
      <c r="A66" s="164">
        <f t="shared" si="0"/>
        <v>66</v>
      </c>
      <c r="B66" s="165" t="s">
        <v>129</v>
      </c>
      <c r="C66" s="165" t="s">
        <v>174</v>
      </c>
      <c r="D66" s="178"/>
      <c r="E66" s="178">
        <v>0.14499999999999999</v>
      </c>
      <c r="F66" s="178">
        <v>0.46100000000000002</v>
      </c>
      <c r="G66" s="178">
        <v>0.18099999999999999</v>
      </c>
      <c r="H66" s="175">
        <v>0.41199999999999998</v>
      </c>
      <c r="I66" s="175">
        <v>0.48399999999999999</v>
      </c>
      <c r="J66" s="175">
        <v>0.34200000000000003</v>
      </c>
      <c r="K66" s="175">
        <v>0.34200000000000003</v>
      </c>
      <c r="L66" s="175">
        <v>0.34200000000000003</v>
      </c>
    </row>
    <row r="67" spans="1:12" x14ac:dyDescent="0.25">
      <c r="A67" s="164">
        <f t="shared" ref="A67:A130" si="1">+A66+1</f>
        <v>67</v>
      </c>
      <c r="B67" s="165" t="s">
        <v>29</v>
      </c>
      <c r="C67" s="165" t="s">
        <v>171</v>
      </c>
      <c r="D67" s="178"/>
      <c r="E67" s="178">
        <v>3.7829999999999999</v>
      </c>
      <c r="F67" s="178">
        <v>3.59</v>
      </c>
      <c r="G67" s="178">
        <v>3.5339999999999998</v>
      </c>
      <c r="H67" s="175">
        <v>3.5129999999999999</v>
      </c>
      <c r="I67" s="175">
        <v>3.46</v>
      </c>
      <c r="J67" s="175">
        <v>3.452</v>
      </c>
      <c r="K67" s="175">
        <v>3.508</v>
      </c>
      <c r="L67" s="175">
        <v>3.3039999999999998</v>
      </c>
    </row>
    <row r="68" spans="1:12" x14ac:dyDescent="0.25">
      <c r="A68" s="164">
        <f t="shared" si="1"/>
        <v>68</v>
      </c>
      <c r="B68" s="170" t="s">
        <v>203</v>
      </c>
      <c r="C68" s="164"/>
      <c r="D68" s="178"/>
      <c r="E68" s="179">
        <v>72.362999999999985</v>
      </c>
      <c r="F68" s="179">
        <v>73.929000000000016</v>
      </c>
      <c r="G68" s="179">
        <v>76.338999999999984</v>
      </c>
      <c r="H68" s="180">
        <v>81.65300000000002</v>
      </c>
      <c r="I68" s="180">
        <v>86.307999999999993</v>
      </c>
      <c r="J68" s="180">
        <v>89.160000000000011</v>
      </c>
      <c r="K68" s="180">
        <v>92.727000000000004</v>
      </c>
      <c r="L68" s="180">
        <v>95.303999999999988</v>
      </c>
    </row>
    <row r="69" spans="1:12" x14ac:dyDescent="0.25">
      <c r="A69" s="164">
        <f t="shared" si="1"/>
        <v>69</v>
      </c>
      <c r="B69" s="166" t="s">
        <v>204</v>
      </c>
      <c r="C69" s="164"/>
      <c r="D69" s="178"/>
      <c r="E69" s="185"/>
      <c r="F69" s="185"/>
      <c r="G69" s="185"/>
      <c r="H69" s="185"/>
      <c r="I69" s="185"/>
      <c r="J69" s="185"/>
      <c r="K69" s="185"/>
      <c r="L69" s="185"/>
    </row>
    <row r="70" spans="1:12" x14ac:dyDescent="0.25">
      <c r="A70" s="164">
        <f t="shared" si="1"/>
        <v>70</v>
      </c>
      <c r="B70" s="165" t="s">
        <v>205</v>
      </c>
      <c r="C70" s="165" t="s">
        <v>174</v>
      </c>
      <c r="D70" s="178"/>
      <c r="E70" s="178">
        <v>64.944999999999993</v>
      </c>
      <c r="F70" s="178">
        <v>69.027000000000001</v>
      </c>
      <c r="G70" s="178">
        <v>73.099000000000004</v>
      </c>
      <c r="H70" s="175">
        <v>75.956000000000003</v>
      </c>
      <c r="I70" s="175">
        <v>80.891999999999996</v>
      </c>
      <c r="J70" s="175">
        <v>85.858000000000004</v>
      </c>
      <c r="K70" s="175">
        <v>90.944000000000003</v>
      </c>
      <c r="L70" s="175">
        <v>95.721999999999994</v>
      </c>
    </row>
    <row r="71" spans="1:12" x14ac:dyDescent="0.25">
      <c r="A71" s="164">
        <f t="shared" si="1"/>
        <v>71</v>
      </c>
      <c r="B71" s="165" t="s">
        <v>206</v>
      </c>
      <c r="C71" s="165" t="s">
        <v>174</v>
      </c>
      <c r="D71" s="178"/>
      <c r="E71" s="178">
        <v>4.7309999999999999</v>
      </c>
      <c r="F71" s="178">
        <v>4.6849999999999996</v>
      </c>
      <c r="G71" s="178">
        <v>4.5149999999999997</v>
      </c>
      <c r="H71" s="175">
        <v>4.5030000000000001</v>
      </c>
      <c r="I71" s="175">
        <v>4.5869999999999997</v>
      </c>
      <c r="J71" s="175">
        <v>5.1219999999999999</v>
      </c>
      <c r="K71" s="175">
        <v>5.2569999999999997</v>
      </c>
      <c r="L71" s="175">
        <v>5.5259999999999998</v>
      </c>
    </row>
    <row r="72" spans="1:12" x14ac:dyDescent="0.25">
      <c r="A72" s="164">
        <f t="shared" si="1"/>
        <v>72</v>
      </c>
      <c r="B72" s="165" t="s">
        <v>173</v>
      </c>
      <c r="C72" s="165" t="s">
        <v>174</v>
      </c>
      <c r="D72" s="178"/>
      <c r="E72" s="178">
        <v>17.231999999999999</v>
      </c>
      <c r="F72" s="178">
        <v>17.074000000000002</v>
      </c>
      <c r="G72" s="178">
        <v>16.948</v>
      </c>
      <c r="H72" s="175">
        <v>18.010999999999999</v>
      </c>
      <c r="I72" s="175">
        <v>18.571999999999999</v>
      </c>
      <c r="J72" s="175">
        <v>19.285</v>
      </c>
      <c r="K72" s="175">
        <v>19.756</v>
      </c>
      <c r="L72" s="175">
        <v>20.228999999999999</v>
      </c>
    </row>
    <row r="73" spans="1:12" x14ac:dyDescent="0.25">
      <c r="A73" s="164">
        <f t="shared" si="1"/>
        <v>73</v>
      </c>
      <c r="B73" s="165" t="s">
        <v>207</v>
      </c>
      <c r="C73" s="165" t="s">
        <v>174</v>
      </c>
      <c r="D73" s="178"/>
      <c r="E73" s="178">
        <v>3.3639999999999999</v>
      </c>
      <c r="F73" s="178">
        <v>3.43</v>
      </c>
      <c r="G73" s="178">
        <v>2.431</v>
      </c>
      <c r="H73" s="175">
        <v>2.3109999999999999</v>
      </c>
      <c r="I73" s="175">
        <v>2.302</v>
      </c>
      <c r="J73" s="175">
        <v>2.3929999999999998</v>
      </c>
      <c r="K73" s="175">
        <v>2.5</v>
      </c>
      <c r="L73" s="175">
        <v>2.5720000000000001</v>
      </c>
    </row>
    <row r="74" spans="1:12" x14ac:dyDescent="0.25">
      <c r="A74" s="164">
        <f t="shared" si="1"/>
        <v>74</v>
      </c>
      <c r="B74" s="165" t="s">
        <v>208</v>
      </c>
      <c r="C74" s="165" t="s">
        <v>174</v>
      </c>
      <c r="D74" s="178"/>
      <c r="E74" s="178">
        <v>3.823</v>
      </c>
      <c r="F74" s="178">
        <v>4.1310000000000002</v>
      </c>
      <c r="G74" s="178">
        <v>4.8819999999999997</v>
      </c>
      <c r="H74" s="175">
        <v>5.0570000000000004</v>
      </c>
      <c r="I74" s="175">
        <v>4.9740000000000002</v>
      </c>
      <c r="J74" s="175">
        <v>5.1369999999999996</v>
      </c>
      <c r="K74" s="175">
        <v>5.2549999999999999</v>
      </c>
      <c r="L74" s="175">
        <v>5.4379999999999997</v>
      </c>
    </row>
    <row r="75" spans="1:12" x14ac:dyDescent="0.25">
      <c r="A75" s="164">
        <f t="shared" si="1"/>
        <v>75</v>
      </c>
      <c r="B75" s="170" t="s">
        <v>209</v>
      </c>
      <c r="C75" s="164"/>
      <c r="D75" s="178"/>
      <c r="E75" s="179">
        <v>94.094999999999985</v>
      </c>
      <c r="F75" s="179">
        <v>98.347000000000008</v>
      </c>
      <c r="G75" s="179">
        <v>101.87500000000001</v>
      </c>
      <c r="H75" s="180">
        <v>105.83800000000001</v>
      </c>
      <c r="I75" s="180">
        <v>111.32700000000001</v>
      </c>
      <c r="J75" s="180">
        <v>117.795</v>
      </c>
      <c r="K75" s="180">
        <v>123.712</v>
      </c>
      <c r="L75" s="180">
        <v>129.48699999999999</v>
      </c>
    </row>
    <row r="76" spans="1:12" x14ac:dyDescent="0.25">
      <c r="A76" s="164">
        <f t="shared" si="1"/>
        <v>76</v>
      </c>
      <c r="B76" s="165" t="s">
        <v>177</v>
      </c>
      <c r="C76" s="165" t="s">
        <v>174</v>
      </c>
      <c r="D76" s="178"/>
      <c r="E76" s="178">
        <v>23.896000000000001</v>
      </c>
      <c r="F76" s="178">
        <v>24.338000000000001</v>
      </c>
      <c r="G76" s="178">
        <v>25.292999999999999</v>
      </c>
      <c r="H76" s="175">
        <v>26.294</v>
      </c>
      <c r="I76" s="175">
        <v>28.87</v>
      </c>
      <c r="J76" s="175">
        <v>29.992999999999999</v>
      </c>
      <c r="K76" s="175">
        <v>31.193000000000001</v>
      </c>
      <c r="L76" s="175">
        <v>32.494</v>
      </c>
    </row>
    <row r="77" spans="1:12" x14ac:dyDescent="0.25">
      <c r="A77" s="164">
        <f t="shared" si="1"/>
        <v>77</v>
      </c>
      <c r="B77" s="165" t="s">
        <v>210</v>
      </c>
      <c r="C77" s="165" t="s">
        <v>174</v>
      </c>
      <c r="D77" s="178"/>
      <c r="E77" s="178">
        <v>60.009</v>
      </c>
      <c r="F77" s="178">
        <v>61.16</v>
      </c>
      <c r="G77" s="178">
        <v>62.835999999999999</v>
      </c>
      <c r="H77" s="175">
        <v>69.205999999999989</v>
      </c>
      <c r="I77" s="175">
        <v>68.105999999999995</v>
      </c>
      <c r="J77" s="175">
        <v>68.430999999999997</v>
      </c>
      <c r="K77" s="175">
        <v>68.507999999999996</v>
      </c>
      <c r="L77" s="175">
        <v>69.527000000000001</v>
      </c>
    </row>
    <row r="78" spans="1:12" x14ac:dyDescent="0.25">
      <c r="A78" s="164">
        <f t="shared" si="1"/>
        <v>78</v>
      </c>
      <c r="B78" s="165" t="s">
        <v>211</v>
      </c>
      <c r="C78" s="165" t="s">
        <v>174</v>
      </c>
      <c r="D78" s="178"/>
      <c r="E78" s="178">
        <v>4.5979999999999999</v>
      </c>
      <c r="F78" s="178">
        <v>4.3330000000000002</v>
      </c>
      <c r="G78" s="178">
        <v>4.1790000000000003</v>
      </c>
      <c r="H78" s="175">
        <v>4.1760000000000002</v>
      </c>
      <c r="I78" s="175">
        <v>3.952</v>
      </c>
      <c r="J78" s="175">
        <v>3.9329999999999998</v>
      </c>
      <c r="K78" s="175">
        <v>3.9569999999999999</v>
      </c>
      <c r="L78" s="175">
        <v>3.5920000000000001</v>
      </c>
    </row>
    <row r="79" spans="1:12" x14ac:dyDescent="0.25">
      <c r="A79" s="164">
        <f t="shared" si="1"/>
        <v>79</v>
      </c>
      <c r="B79" s="170" t="s">
        <v>212</v>
      </c>
      <c r="C79" s="164"/>
      <c r="D79" s="178"/>
      <c r="E79" s="179">
        <v>88.503</v>
      </c>
      <c r="F79" s="179">
        <v>89.830999999999989</v>
      </c>
      <c r="G79" s="179">
        <v>92.307999999999993</v>
      </c>
      <c r="H79" s="180">
        <v>98.49</v>
      </c>
      <c r="I79" s="180">
        <v>102.899</v>
      </c>
      <c r="J79" s="180">
        <v>106.27799999999999</v>
      </c>
      <c r="K79" s="180">
        <v>109.422</v>
      </c>
      <c r="L79" s="180">
        <v>113.122</v>
      </c>
    </row>
    <row r="80" spans="1:12" x14ac:dyDescent="0.25">
      <c r="A80" s="164">
        <f t="shared" si="1"/>
        <v>80</v>
      </c>
      <c r="B80" s="170" t="s">
        <v>213</v>
      </c>
      <c r="C80" s="164"/>
      <c r="D80" s="178"/>
      <c r="E80" s="179">
        <v>5.5919999999999845</v>
      </c>
      <c r="F80" s="179">
        <v>8.5160000000000196</v>
      </c>
      <c r="G80" s="179">
        <v>9.5670000000000215</v>
      </c>
      <c r="H80" s="180">
        <v>7.3480000000000132</v>
      </c>
      <c r="I80" s="180">
        <v>8.4280000000000115</v>
      </c>
      <c r="J80" s="180">
        <v>11.51700000000001</v>
      </c>
      <c r="K80" s="180">
        <v>14.290000000000006</v>
      </c>
      <c r="L80" s="180">
        <v>16.364999999999995</v>
      </c>
    </row>
    <row r="81" spans="1:12" x14ac:dyDescent="0.25">
      <c r="A81" s="164">
        <f t="shared" si="1"/>
        <v>81</v>
      </c>
      <c r="B81" s="165" t="s">
        <v>214</v>
      </c>
      <c r="C81" s="165" t="s">
        <v>174</v>
      </c>
      <c r="D81" s="178"/>
      <c r="E81" s="178">
        <v>-6.1769999999999996</v>
      </c>
      <c r="F81" s="178">
        <v>-6.1980000000000004</v>
      </c>
      <c r="G81" s="178">
        <v>-6.2089999999999996</v>
      </c>
      <c r="H81" s="175">
        <v>-9.5359999999999996</v>
      </c>
      <c r="I81" s="175">
        <v>-9.0259999999999998</v>
      </c>
      <c r="J81" s="175">
        <v>-7.5309999999999997</v>
      </c>
      <c r="K81" s="175">
        <v>-6.08</v>
      </c>
      <c r="L81" s="175">
        <v>-6.165</v>
      </c>
    </row>
    <row r="82" spans="1:12" x14ac:dyDescent="0.25">
      <c r="A82" s="164">
        <f t="shared" si="1"/>
        <v>82</v>
      </c>
      <c r="B82" s="165" t="s">
        <v>215</v>
      </c>
      <c r="C82" s="165" t="s">
        <v>174</v>
      </c>
      <c r="D82" s="178"/>
      <c r="E82" s="178">
        <v>-4.9119999999999999</v>
      </c>
      <c r="F82" s="178">
        <v>1.41</v>
      </c>
      <c r="G82" s="178">
        <v>0.88900000000000001</v>
      </c>
      <c r="H82" s="175">
        <v>-0.90600000000000003</v>
      </c>
      <c r="I82" s="175">
        <v>2.85</v>
      </c>
      <c r="J82" s="175">
        <v>-0.23</v>
      </c>
      <c r="K82" s="175">
        <v>-3.5000000000000003E-2</v>
      </c>
      <c r="L82" s="175">
        <v>-13.212</v>
      </c>
    </row>
    <row r="83" spans="1:12" x14ac:dyDescent="0.25">
      <c r="A83" s="164">
        <f t="shared" si="1"/>
        <v>83</v>
      </c>
      <c r="B83" s="165" t="s">
        <v>216</v>
      </c>
      <c r="C83" s="165" t="s">
        <v>174</v>
      </c>
      <c r="D83" s="178"/>
      <c r="E83" s="178">
        <v>-0.63100000000000001</v>
      </c>
      <c r="F83" s="178">
        <v>-0.68700000000000006</v>
      </c>
      <c r="G83" s="178">
        <v>-0.748</v>
      </c>
      <c r="H83" s="175">
        <v>-0.97699999999999998</v>
      </c>
      <c r="I83" s="175">
        <v>-0.61399999999999999</v>
      </c>
      <c r="J83" s="175">
        <v>-0.53600000000000003</v>
      </c>
      <c r="K83" s="175">
        <v>-0.47799999999999998</v>
      </c>
      <c r="L83" s="175">
        <v>-0.46100000000000002</v>
      </c>
    </row>
    <row r="84" spans="1:12" x14ac:dyDescent="0.25">
      <c r="A84" s="164">
        <f t="shared" si="1"/>
        <v>84</v>
      </c>
      <c r="B84" s="165" t="s">
        <v>217</v>
      </c>
      <c r="C84" s="165" t="s">
        <v>174</v>
      </c>
      <c r="D84" s="178"/>
      <c r="E84" s="178">
        <v>-1.6859999999999999</v>
      </c>
      <c r="F84" s="178">
        <v>-1.702</v>
      </c>
      <c r="G84" s="178">
        <v>-0.98899999999999999</v>
      </c>
      <c r="H84" s="175">
        <v>-0.86699999999999999</v>
      </c>
      <c r="I84" s="175">
        <v>-0.74</v>
      </c>
      <c r="J84" s="175">
        <v>-0.69899999999999995</v>
      </c>
      <c r="K84" s="175">
        <v>-0.82399999999999995</v>
      </c>
      <c r="L84" s="175">
        <v>-0.77</v>
      </c>
    </row>
    <row r="85" spans="1:12" x14ac:dyDescent="0.25">
      <c r="A85" s="164">
        <f t="shared" si="1"/>
        <v>85</v>
      </c>
      <c r="B85" s="165" t="s">
        <v>218</v>
      </c>
      <c r="C85" s="165" t="s">
        <v>174</v>
      </c>
      <c r="D85" s="178"/>
      <c r="E85" s="178">
        <v>0.73199999999999998</v>
      </c>
      <c r="F85" s="178">
        <v>0.113</v>
      </c>
      <c r="G85" s="178">
        <v>-0.14799999999999999</v>
      </c>
      <c r="H85" s="175">
        <v>0.58099999999999996</v>
      </c>
      <c r="I85" s="175">
        <v>-0.23699999999999999</v>
      </c>
      <c r="J85" s="175">
        <v>-0.223</v>
      </c>
      <c r="K85" s="175">
        <v>-0.155</v>
      </c>
      <c r="L85" s="175">
        <v>-0.28799999999999998</v>
      </c>
    </row>
    <row r="86" spans="1:12" x14ac:dyDescent="0.25">
      <c r="A86" s="164">
        <f t="shared" si="1"/>
        <v>86</v>
      </c>
      <c r="B86" s="170" t="s">
        <v>219</v>
      </c>
      <c r="C86" s="164"/>
      <c r="D86" s="178"/>
      <c r="E86" s="179">
        <v>-12.673999999999999</v>
      </c>
      <c r="F86" s="179">
        <v>-7.0640000000000001</v>
      </c>
      <c r="G86" s="179">
        <v>-7.2049999999999992</v>
      </c>
      <c r="H86" s="180">
        <v>-10.909000000000002</v>
      </c>
      <c r="I86" s="180">
        <v>-9.282</v>
      </c>
      <c r="J86" s="180">
        <v>-11.434000000000001</v>
      </c>
      <c r="K86" s="180">
        <v>-10.217000000000001</v>
      </c>
      <c r="L86" s="180">
        <v>-23.565999999999995</v>
      </c>
    </row>
    <row r="87" spans="1:12" x14ac:dyDescent="0.25">
      <c r="A87" s="164">
        <f t="shared" si="1"/>
        <v>87</v>
      </c>
      <c r="B87" s="170" t="s">
        <v>220</v>
      </c>
      <c r="C87" s="164"/>
      <c r="D87" s="178"/>
      <c r="E87" s="179">
        <v>-7.0820000000000149</v>
      </c>
      <c r="F87" s="179">
        <v>1.4520000000000195</v>
      </c>
      <c r="G87" s="179">
        <v>2.3620000000000223</v>
      </c>
      <c r="H87" s="180">
        <v>-3.5609999999999893</v>
      </c>
      <c r="I87" s="180">
        <v>-0.85399999999998855</v>
      </c>
      <c r="J87" s="180">
        <v>8.3000000000009067E-2</v>
      </c>
      <c r="K87" s="180">
        <v>4.0730000000000057</v>
      </c>
      <c r="L87" s="180">
        <v>-7.2010000000000005</v>
      </c>
    </row>
    <row r="88" spans="1:12" x14ac:dyDescent="0.25">
      <c r="A88" s="164">
        <f t="shared" si="1"/>
        <v>88</v>
      </c>
      <c r="B88" s="165" t="s">
        <v>221</v>
      </c>
      <c r="C88" s="165" t="s">
        <v>174</v>
      </c>
      <c r="D88" s="178"/>
      <c r="E88" s="178">
        <v>0.372</v>
      </c>
      <c r="F88" s="178">
        <v>0.378</v>
      </c>
      <c r="G88" s="178">
        <v>0.26500000000000001</v>
      </c>
      <c r="H88" s="175">
        <v>0.105</v>
      </c>
      <c r="I88" s="175">
        <v>0.183</v>
      </c>
      <c r="J88" s="175">
        <v>0.188</v>
      </c>
      <c r="K88" s="175">
        <v>0.19400000000000001</v>
      </c>
      <c r="L88" s="175">
        <v>0.19900000000000001</v>
      </c>
    </row>
    <row r="89" spans="1:12" x14ac:dyDescent="0.25">
      <c r="A89" s="164">
        <f t="shared" si="1"/>
        <v>89</v>
      </c>
      <c r="B89" s="165" t="s">
        <v>222</v>
      </c>
      <c r="C89" s="165" t="s">
        <v>174</v>
      </c>
      <c r="D89" s="178"/>
      <c r="E89" s="178">
        <v>1.548</v>
      </c>
      <c r="F89" s="178">
        <v>6.25</v>
      </c>
      <c r="G89" s="178">
        <v>1.3280000000000001</v>
      </c>
      <c r="H89" s="175">
        <v>-2.1739999999999999</v>
      </c>
      <c r="I89" s="175">
        <v>-0.89300000000000002</v>
      </c>
      <c r="J89" s="175">
        <v>-0.313</v>
      </c>
      <c r="K89" s="175">
        <v>-3.95</v>
      </c>
      <c r="L89" s="175">
        <v>7.0839999999999996</v>
      </c>
    </row>
    <row r="90" spans="1:12" x14ac:dyDescent="0.25">
      <c r="A90" s="164">
        <f t="shared" si="1"/>
        <v>90</v>
      </c>
      <c r="B90" s="165" t="s">
        <v>223</v>
      </c>
      <c r="C90" s="165" t="s">
        <v>174</v>
      </c>
      <c r="D90" s="178"/>
      <c r="E90" s="178">
        <v>-2.3210000000000002</v>
      </c>
      <c r="F90" s="178">
        <v>2.21</v>
      </c>
      <c r="G90" s="178">
        <v>2.048</v>
      </c>
      <c r="H90" s="175">
        <v>-5.4859999999999998</v>
      </c>
      <c r="I90" s="175">
        <v>0.33400000000000002</v>
      </c>
      <c r="J90" s="175">
        <v>0.01</v>
      </c>
      <c r="K90" s="175">
        <v>2E-3</v>
      </c>
      <c r="L90" s="175">
        <v>2E-3</v>
      </c>
    </row>
    <row r="91" spans="1:12" x14ac:dyDescent="0.25">
      <c r="A91" s="164">
        <f t="shared" si="1"/>
        <v>91</v>
      </c>
      <c r="B91" s="165" t="s">
        <v>224</v>
      </c>
      <c r="C91" s="165" t="s">
        <v>174</v>
      </c>
      <c r="D91" s="178"/>
      <c r="E91" s="178">
        <v>7.077</v>
      </c>
      <c r="F91" s="178">
        <v>-5.9610000000000003</v>
      </c>
      <c r="G91" s="178">
        <v>-1.81</v>
      </c>
      <c r="H91" s="175">
        <v>8.0169999999999995</v>
      </c>
      <c r="I91" s="175">
        <v>1.4530000000000001</v>
      </c>
      <c r="J91" s="175">
        <v>1.028</v>
      </c>
      <c r="K91" s="175">
        <v>0.84599999999999997</v>
      </c>
      <c r="L91" s="175">
        <v>0.71199999999999997</v>
      </c>
    </row>
    <row r="92" spans="1:12" x14ac:dyDescent="0.25">
      <c r="A92" s="164">
        <f t="shared" si="1"/>
        <v>92</v>
      </c>
      <c r="B92" s="165" t="s">
        <v>225</v>
      </c>
      <c r="C92" s="165" t="s">
        <v>174</v>
      </c>
      <c r="D92" s="178"/>
      <c r="E92" s="178">
        <v>-0.47799999999999998</v>
      </c>
      <c r="F92" s="178">
        <v>-0.50900000000000001</v>
      </c>
      <c r="G92" s="178">
        <v>-0.65600000000000003</v>
      </c>
      <c r="H92" s="175">
        <v>-0.53100000000000003</v>
      </c>
      <c r="I92" s="175">
        <v>-0.52200000000000002</v>
      </c>
      <c r="J92" s="175">
        <v>-0.55900000000000005</v>
      </c>
      <c r="K92" s="175">
        <v>-0.56599999999999995</v>
      </c>
      <c r="L92" s="175">
        <v>-0.56899999999999995</v>
      </c>
    </row>
    <row r="93" spans="1:12" x14ac:dyDescent="0.25">
      <c r="A93" s="164">
        <f t="shared" si="1"/>
        <v>93</v>
      </c>
      <c r="B93" s="170" t="s">
        <v>226</v>
      </c>
      <c r="C93" s="164"/>
      <c r="D93" s="178"/>
      <c r="E93" s="179">
        <v>6.1980000000000004</v>
      </c>
      <c r="F93" s="179">
        <v>2.3680000000000008</v>
      </c>
      <c r="G93" s="179">
        <v>1.1749999999999998</v>
      </c>
      <c r="H93" s="180">
        <v>-6.9000000000000283E-2</v>
      </c>
      <c r="I93" s="180">
        <v>0.55500000000000016</v>
      </c>
      <c r="J93" s="180">
        <v>0.35399999999999998</v>
      </c>
      <c r="K93" s="180">
        <v>-3.4740000000000002</v>
      </c>
      <c r="L93" s="180">
        <v>7.427999999999999</v>
      </c>
    </row>
    <row r="94" spans="1:12" x14ac:dyDescent="0.25">
      <c r="A94" s="164">
        <f t="shared" si="1"/>
        <v>94</v>
      </c>
      <c r="B94" s="170" t="s">
        <v>227</v>
      </c>
      <c r="C94" s="164"/>
      <c r="D94" s="178"/>
      <c r="E94" s="179">
        <v>-0.88400000000001455</v>
      </c>
      <c r="F94" s="179">
        <v>3.8200000000000203</v>
      </c>
      <c r="G94" s="179">
        <v>3.5370000000000221</v>
      </c>
      <c r="H94" s="180">
        <v>-3.6299999999999897</v>
      </c>
      <c r="I94" s="180">
        <v>-0.29899999999998839</v>
      </c>
      <c r="J94" s="180">
        <v>0.43700000000000905</v>
      </c>
      <c r="K94" s="180">
        <v>0.59900000000000553</v>
      </c>
      <c r="L94" s="180">
        <v>0.22699999999999854</v>
      </c>
    </row>
    <row r="95" spans="1:12" x14ac:dyDescent="0.25">
      <c r="A95" s="164">
        <f t="shared" si="1"/>
        <v>95</v>
      </c>
      <c r="B95" s="165" t="s">
        <v>228</v>
      </c>
      <c r="C95" s="165" t="s">
        <v>171</v>
      </c>
      <c r="D95" s="178"/>
      <c r="E95" s="178">
        <v>0.97799999999999998</v>
      </c>
      <c r="F95" s="178">
        <v>-0.185</v>
      </c>
      <c r="G95" s="178">
        <v>-0.42199999999999999</v>
      </c>
      <c r="H95" s="175">
        <v>0.41</v>
      </c>
      <c r="I95" s="175">
        <v>1E-3</v>
      </c>
      <c r="J95" s="175">
        <v>3.0000000000000001E-3</v>
      </c>
      <c r="K95" s="175">
        <v>2E-3</v>
      </c>
      <c r="L95" s="175">
        <v>1E-3</v>
      </c>
    </row>
    <row r="96" spans="1:12" x14ac:dyDescent="0.25">
      <c r="A96" s="164">
        <f t="shared" si="1"/>
        <v>96</v>
      </c>
      <c r="B96" s="170" t="s">
        <v>229</v>
      </c>
      <c r="C96" s="164"/>
      <c r="D96" s="178"/>
      <c r="E96" s="183" t="s">
        <v>196</v>
      </c>
      <c r="F96" s="183" t="s">
        <v>196</v>
      </c>
      <c r="G96" s="183" t="s">
        <v>196</v>
      </c>
      <c r="H96" s="184" t="s">
        <v>196</v>
      </c>
      <c r="I96" s="184" t="s">
        <v>196</v>
      </c>
      <c r="J96" s="184" t="s">
        <v>196</v>
      </c>
      <c r="K96" s="184" t="s">
        <v>196</v>
      </c>
      <c r="L96" s="184" t="s">
        <v>196</v>
      </c>
    </row>
    <row r="97" spans="1:12" x14ac:dyDescent="0.25">
      <c r="A97" s="164">
        <f t="shared" si="1"/>
        <v>97</v>
      </c>
      <c r="B97" s="166" t="s">
        <v>230</v>
      </c>
      <c r="C97" s="164"/>
      <c r="D97" s="178"/>
      <c r="E97" s="178"/>
      <c r="F97" s="178"/>
      <c r="G97" s="178"/>
      <c r="H97" s="175"/>
      <c r="I97" s="175"/>
      <c r="J97" s="175"/>
      <c r="K97" s="175"/>
      <c r="L97" s="175"/>
    </row>
    <row r="98" spans="1:12" x14ac:dyDescent="0.25">
      <c r="A98" s="164">
        <f t="shared" si="1"/>
        <v>98</v>
      </c>
      <c r="B98" s="170" t="s">
        <v>231</v>
      </c>
      <c r="C98" s="164"/>
      <c r="D98" s="178"/>
      <c r="E98" s="179">
        <v>9.9209999999999852</v>
      </c>
      <c r="F98" s="179">
        <v>1.0090000000000199</v>
      </c>
      <c r="G98" s="179">
        <v>17.245000000000022</v>
      </c>
      <c r="H98" s="180">
        <v>10.509000000000013</v>
      </c>
      <c r="I98" s="180">
        <v>11.190000000000012</v>
      </c>
      <c r="J98" s="180">
        <v>14.70600000000001</v>
      </c>
      <c r="K98" s="180">
        <v>17.782000000000007</v>
      </c>
      <c r="L98" s="180">
        <v>20.311999999999994</v>
      </c>
    </row>
    <row r="99" spans="1:12" x14ac:dyDescent="0.25">
      <c r="A99" s="164">
        <f t="shared" si="1"/>
        <v>99</v>
      </c>
      <c r="B99" s="170"/>
      <c r="C99" s="164"/>
      <c r="D99" s="178"/>
      <c r="E99" s="186"/>
      <c r="F99" s="186"/>
      <c r="G99" s="186"/>
      <c r="H99" s="187"/>
      <c r="I99" s="187"/>
      <c r="J99" s="187"/>
      <c r="K99" s="187"/>
      <c r="L99" s="187"/>
    </row>
    <row r="100" spans="1:12" x14ac:dyDescent="0.25">
      <c r="A100" s="164">
        <f t="shared" si="1"/>
        <v>100</v>
      </c>
      <c r="B100" s="165" t="s">
        <v>232</v>
      </c>
      <c r="C100" s="165" t="s">
        <v>174</v>
      </c>
      <c r="D100" s="178"/>
      <c r="E100" s="178">
        <v>-0.69599999999999995</v>
      </c>
      <c r="F100" s="178">
        <v>-0.747</v>
      </c>
      <c r="G100" s="178">
        <v>-0.753</v>
      </c>
      <c r="H100" s="175">
        <v>-1.141</v>
      </c>
      <c r="I100" s="175">
        <v>-0.86399999999999999</v>
      </c>
      <c r="J100" s="175">
        <v>-0.90500000000000003</v>
      </c>
      <c r="K100" s="175">
        <v>-0.94099999999999995</v>
      </c>
      <c r="L100" s="175">
        <v>-0.93400000000000005</v>
      </c>
    </row>
    <row r="101" spans="1:12" x14ac:dyDescent="0.25">
      <c r="A101" s="164">
        <f t="shared" si="1"/>
        <v>101</v>
      </c>
      <c r="B101" s="165" t="s">
        <v>233</v>
      </c>
      <c r="C101" s="165" t="s">
        <v>174</v>
      </c>
      <c r="D101" s="178"/>
      <c r="E101" s="178">
        <v>-0.30499999999999999</v>
      </c>
      <c r="F101" s="178">
        <v>-0.16900000000000001</v>
      </c>
      <c r="G101" s="178">
        <v>0.05</v>
      </c>
      <c r="H101" s="175">
        <v>-0.114</v>
      </c>
      <c r="I101" s="175">
        <v>-0.115</v>
      </c>
      <c r="J101" s="175">
        <v>-0.115</v>
      </c>
      <c r="K101" s="175">
        <v>-0.11700000000000001</v>
      </c>
      <c r="L101" s="175">
        <v>-0.11799999999999999</v>
      </c>
    </row>
    <row r="102" spans="1:12" x14ac:dyDescent="0.25">
      <c r="A102" s="164">
        <f t="shared" si="1"/>
        <v>102</v>
      </c>
      <c r="B102" s="165" t="s">
        <v>234</v>
      </c>
      <c r="C102" s="165" t="s">
        <v>174</v>
      </c>
      <c r="D102" s="178"/>
      <c r="E102" s="178">
        <v>0.373</v>
      </c>
      <c r="F102" s="178">
        <v>0.42</v>
      </c>
      <c r="G102" s="178">
        <v>0.47199999999999998</v>
      </c>
      <c r="H102" s="175">
        <v>0.58899999999999997</v>
      </c>
      <c r="I102" s="175">
        <v>0.56299999999999994</v>
      </c>
      <c r="J102" s="175">
        <v>0.53800000000000003</v>
      </c>
      <c r="K102" s="175">
        <v>0.51</v>
      </c>
      <c r="L102" s="175">
        <v>0.48799999999999999</v>
      </c>
    </row>
    <row r="103" spans="1:12" x14ac:dyDescent="0.25">
      <c r="A103" s="164">
        <f t="shared" si="1"/>
        <v>103</v>
      </c>
      <c r="B103" s="165" t="s">
        <v>235</v>
      </c>
      <c r="C103" s="165" t="s">
        <v>174</v>
      </c>
      <c r="D103" s="178"/>
      <c r="E103" s="178">
        <v>0.746</v>
      </c>
      <c r="F103" s="178">
        <v>-0.59699999999999998</v>
      </c>
      <c r="G103" s="178">
        <v>-1.0469999999999999</v>
      </c>
      <c r="H103" s="175">
        <v>-0.124</v>
      </c>
      <c r="I103" s="175">
        <v>-0.82199999999999995</v>
      </c>
      <c r="J103" s="175">
        <v>-1.5980000000000001</v>
      </c>
      <c r="K103" s="175">
        <v>-1.9370000000000001</v>
      </c>
      <c r="L103" s="175">
        <v>-1.9870000000000001</v>
      </c>
    </row>
    <row r="104" spans="1:12" x14ac:dyDescent="0.25">
      <c r="A104" s="164">
        <f t="shared" si="1"/>
        <v>104</v>
      </c>
      <c r="B104" s="165" t="s">
        <v>129</v>
      </c>
      <c r="C104" s="165" t="s">
        <v>174</v>
      </c>
      <c r="D104" s="178"/>
      <c r="E104" s="178">
        <v>0.69899999999999995</v>
      </c>
      <c r="F104" s="178">
        <v>-8.5000000000000006E-2</v>
      </c>
      <c r="G104" s="178">
        <v>0.25900000000000001</v>
      </c>
      <c r="H104" s="175">
        <v>-0.20300000000000001</v>
      </c>
      <c r="I104" s="175">
        <v>-0.17599999999999999</v>
      </c>
      <c r="J104" s="175">
        <v>-0.19700000000000001</v>
      </c>
      <c r="K104" s="175">
        <v>-0.18099999999999999</v>
      </c>
      <c r="L104" s="175">
        <v>-0.19800000000000001</v>
      </c>
    </row>
    <row r="105" spans="1:12" x14ac:dyDescent="0.25">
      <c r="A105" s="164">
        <f t="shared" si="1"/>
        <v>105</v>
      </c>
      <c r="B105" s="170" t="s">
        <v>236</v>
      </c>
      <c r="C105" s="164"/>
      <c r="D105" s="178"/>
      <c r="E105" s="179">
        <v>-4.0249999999999986</v>
      </c>
      <c r="F105" s="179">
        <v>-6.0529999999999999</v>
      </c>
      <c r="G105" s="179">
        <v>-6.1949999999999994</v>
      </c>
      <c r="H105" s="180">
        <v>-6.2780000000000005</v>
      </c>
      <c r="I105" s="180">
        <v>-6.8770000000000007</v>
      </c>
      <c r="J105" s="180">
        <v>-7.8710000000000004</v>
      </c>
      <c r="K105" s="180">
        <v>-8.2809999999999988</v>
      </c>
      <c r="L105" s="180">
        <v>-8.3810000000000002</v>
      </c>
    </row>
    <row r="106" spans="1:12" x14ac:dyDescent="0.25">
      <c r="A106" s="164">
        <f t="shared" si="1"/>
        <v>106</v>
      </c>
      <c r="B106" s="165" t="s">
        <v>237</v>
      </c>
      <c r="C106" s="165" t="s">
        <v>174</v>
      </c>
      <c r="D106" s="178"/>
      <c r="E106" s="178">
        <v>0.14099999999999999</v>
      </c>
      <c r="F106" s="178">
        <v>-0.53200000000000003</v>
      </c>
      <c r="G106" s="178">
        <v>1.17</v>
      </c>
      <c r="H106" s="175">
        <v>1.5109999999999999</v>
      </c>
      <c r="I106" s="175">
        <v>0.94299999999999995</v>
      </c>
      <c r="J106" s="175">
        <v>0.66800000000000004</v>
      </c>
      <c r="K106" s="175">
        <v>0.752</v>
      </c>
      <c r="L106" s="175">
        <v>0.746</v>
      </c>
    </row>
    <row r="107" spans="1:12" x14ac:dyDescent="0.25">
      <c r="A107" s="164">
        <f t="shared" si="1"/>
        <v>107</v>
      </c>
      <c r="B107" s="165" t="s">
        <v>238</v>
      </c>
      <c r="C107" s="165" t="s">
        <v>174</v>
      </c>
      <c r="D107" s="178"/>
      <c r="E107" s="178">
        <v>0.19600000000000001</v>
      </c>
      <c r="F107" s="178">
        <v>0.16900000000000001</v>
      </c>
      <c r="G107" s="178">
        <v>0.312</v>
      </c>
      <c r="H107" s="175">
        <v>0.45900000000000002</v>
      </c>
      <c r="I107" s="175">
        <v>0.29299999999999998</v>
      </c>
      <c r="J107" s="175">
        <v>0.248</v>
      </c>
      <c r="K107" s="175">
        <v>0.21</v>
      </c>
      <c r="L107" s="175">
        <v>7.0000000000000001E-3</v>
      </c>
    </row>
    <row r="108" spans="1:12" x14ac:dyDescent="0.25">
      <c r="A108" s="164">
        <f t="shared" si="1"/>
        <v>108</v>
      </c>
      <c r="B108" s="165" t="s">
        <v>239</v>
      </c>
      <c r="C108" s="165" t="s">
        <v>174</v>
      </c>
      <c r="D108" s="178"/>
      <c r="E108" s="178">
        <v>-0.105</v>
      </c>
      <c r="F108" s="178">
        <v>0.115</v>
      </c>
      <c r="G108" s="178">
        <v>5.7000000000000002E-2</v>
      </c>
      <c r="H108" s="175">
        <v>-0.109</v>
      </c>
      <c r="I108" s="175">
        <v>-0.05</v>
      </c>
      <c r="J108" s="175">
        <v>-1.2999999999999999E-2</v>
      </c>
      <c r="K108" s="175">
        <v>-1.6E-2</v>
      </c>
      <c r="L108" s="175">
        <v>-6.0000000000000001E-3</v>
      </c>
    </row>
    <row r="109" spans="1:12" x14ac:dyDescent="0.25">
      <c r="A109" s="164">
        <f t="shared" si="1"/>
        <v>109</v>
      </c>
      <c r="B109" s="165" t="s">
        <v>240</v>
      </c>
      <c r="C109" s="165" t="s">
        <v>174</v>
      </c>
      <c r="D109" s="178"/>
      <c r="E109" s="178">
        <v>-1.2E-2</v>
      </c>
      <c r="F109" s="178">
        <v>7.0000000000000007E-2</v>
      </c>
      <c r="G109" s="178">
        <v>0.151</v>
      </c>
      <c r="H109" s="175">
        <v>-0.06</v>
      </c>
      <c r="I109" s="175">
        <v>2E-3</v>
      </c>
      <c r="J109" s="175">
        <v>-1.0999999999999999E-2</v>
      </c>
      <c r="K109" s="175">
        <v>-2E-3</v>
      </c>
      <c r="L109" s="175">
        <v>-1E-3</v>
      </c>
    </row>
    <row r="110" spans="1:12" x14ac:dyDescent="0.25">
      <c r="A110" s="164">
        <f t="shared" si="1"/>
        <v>110</v>
      </c>
      <c r="B110" s="165" t="s">
        <v>241</v>
      </c>
      <c r="C110" s="165" t="s">
        <v>174</v>
      </c>
      <c r="D110" s="178"/>
      <c r="E110" s="178">
        <v>-0.14899999999999999</v>
      </c>
      <c r="F110" s="178">
        <v>-6.6000000000000003E-2</v>
      </c>
      <c r="G110" s="178">
        <v>-4.5999999999999999E-2</v>
      </c>
      <c r="H110" s="175">
        <v>0.106</v>
      </c>
      <c r="I110" s="175">
        <v>-6.6000000000000003E-2</v>
      </c>
      <c r="J110" s="175">
        <v>-1.6E-2</v>
      </c>
      <c r="K110" s="175">
        <v>-4.3999999999999997E-2</v>
      </c>
      <c r="L110" s="175">
        <v>-2.7E-2</v>
      </c>
    </row>
    <row r="111" spans="1:12" x14ac:dyDescent="0.25">
      <c r="A111" s="164">
        <f t="shared" si="1"/>
        <v>111</v>
      </c>
      <c r="B111" s="165" t="s">
        <v>242</v>
      </c>
      <c r="C111" s="165" t="s">
        <v>174</v>
      </c>
      <c r="D111" s="178"/>
      <c r="E111" s="178">
        <v>-0.19600000000000001</v>
      </c>
      <c r="F111" s="178">
        <v>-8.1000000000000003E-2</v>
      </c>
      <c r="G111" s="178">
        <v>-0.377</v>
      </c>
      <c r="H111" s="175">
        <v>-0.222</v>
      </c>
      <c r="I111" s="175">
        <v>0.40400000000000003</v>
      </c>
      <c r="J111" s="175">
        <v>0.74</v>
      </c>
      <c r="K111" s="175">
        <v>-0.104</v>
      </c>
      <c r="L111" s="175">
        <v>0.39900000000000002</v>
      </c>
    </row>
    <row r="112" spans="1:12" x14ac:dyDescent="0.25">
      <c r="A112" s="164">
        <f t="shared" si="1"/>
        <v>112</v>
      </c>
      <c r="B112" s="170" t="s">
        <v>243</v>
      </c>
      <c r="C112" s="164"/>
      <c r="D112" s="178"/>
      <c r="E112" s="179">
        <v>-0.12500000000000003</v>
      </c>
      <c r="F112" s="179">
        <v>-0.32500000000000001</v>
      </c>
      <c r="G112" s="179">
        <v>1.2669999999999999</v>
      </c>
      <c r="H112" s="180">
        <v>1.6850000000000001</v>
      </c>
      <c r="I112" s="180">
        <v>1.5259999999999998</v>
      </c>
      <c r="J112" s="180">
        <v>1.6160000000000001</v>
      </c>
      <c r="K112" s="180">
        <v>0.79599999999999993</v>
      </c>
      <c r="L112" s="180">
        <v>1.1179999999999999</v>
      </c>
    </row>
    <row r="113" spans="1:12" x14ac:dyDescent="0.25">
      <c r="A113" s="164">
        <f t="shared" si="1"/>
        <v>113</v>
      </c>
      <c r="B113" s="170" t="s">
        <v>244</v>
      </c>
      <c r="C113" s="164"/>
      <c r="D113" s="178"/>
      <c r="E113" s="183" t="s">
        <v>196</v>
      </c>
      <c r="F113" s="183" t="s">
        <v>196</v>
      </c>
      <c r="G113" s="183" t="s">
        <v>196</v>
      </c>
      <c r="H113" s="184" t="s">
        <v>196</v>
      </c>
      <c r="I113" s="184" t="s">
        <v>196</v>
      </c>
      <c r="J113" s="184" t="s">
        <v>196</v>
      </c>
      <c r="K113" s="184" t="s">
        <v>196</v>
      </c>
      <c r="L113" s="184" t="s">
        <v>196</v>
      </c>
    </row>
    <row r="114" spans="1:12" x14ac:dyDescent="0.25">
      <c r="A114" s="164">
        <f t="shared" si="1"/>
        <v>114</v>
      </c>
      <c r="B114" s="166" t="s">
        <v>245</v>
      </c>
      <c r="C114" s="164"/>
      <c r="D114" s="178"/>
      <c r="E114" s="178"/>
      <c r="F114" s="178"/>
      <c r="G114" s="178"/>
      <c r="H114" s="175"/>
      <c r="I114" s="175"/>
      <c r="J114" s="175"/>
      <c r="K114" s="175"/>
      <c r="L114" s="175"/>
    </row>
    <row r="115" spans="1:12" x14ac:dyDescent="0.25">
      <c r="A115" s="164">
        <f t="shared" si="1"/>
        <v>115</v>
      </c>
      <c r="B115" s="165" t="s">
        <v>246</v>
      </c>
      <c r="C115" s="165" t="s">
        <v>174</v>
      </c>
      <c r="D115" s="181">
        <v>11.888</v>
      </c>
      <c r="E115" s="178">
        <v>11.981999999999999</v>
      </c>
      <c r="F115" s="178">
        <v>15.617000000000001</v>
      </c>
      <c r="G115" s="178">
        <v>18.731999999999999</v>
      </c>
      <c r="H115" s="175">
        <v>15.512</v>
      </c>
      <c r="I115" s="175">
        <v>15.214</v>
      </c>
      <c r="J115" s="175">
        <v>15.654</v>
      </c>
      <c r="K115" s="175">
        <v>16.254999999999999</v>
      </c>
      <c r="L115" s="175">
        <v>16.483000000000001</v>
      </c>
    </row>
    <row r="116" spans="1:12" x14ac:dyDescent="0.25">
      <c r="A116" s="164">
        <f t="shared" si="1"/>
        <v>116</v>
      </c>
      <c r="B116" s="165" t="s">
        <v>247</v>
      </c>
      <c r="C116" s="165" t="s">
        <v>174</v>
      </c>
      <c r="D116" s="178"/>
      <c r="E116" s="178">
        <v>17.602</v>
      </c>
      <c r="F116" s="178">
        <v>16.789000000000001</v>
      </c>
      <c r="G116" s="178">
        <v>18.529</v>
      </c>
      <c r="H116" s="175">
        <v>18.899999999999999</v>
      </c>
      <c r="I116" s="175">
        <v>19.876000000000001</v>
      </c>
      <c r="J116" s="175">
        <v>20.588000000000001</v>
      </c>
      <c r="K116" s="175">
        <v>21.988</v>
      </c>
      <c r="L116" s="175">
        <v>22.22</v>
      </c>
    </row>
    <row r="117" spans="1:12" x14ac:dyDescent="0.25">
      <c r="A117" s="164">
        <f t="shared" si="1"/>
        <v>117</v>
      </c>
      <c r="B117" s="165" t="s">
        <v>248</v>
      </c>
      <c r="C117" s="165" t="s">
        <v>174</v>
      </c>
      <c r="D117" s="178"/>
      <c r="E117" s="178">
        <v>54.298000000000002</v>
      </c>
      <c r="F117" s="178">
        <v>53.398000000000003</v>
      </c>
      <c r="G117" s="178">
        <v>50.506</v>
      </c>
      <c r="H117" s="175">
        <v>47.213999999999999</v>
      </c>
      <c r="I117" s="175">
        <v>43.561999999999998</v>
      </c>
      <c r="J117" s="175">
        <v>43.466999999999999</v>
      </c>
      <c r="K117" s="175">
        <v>41.790999999999997</v>
      </c>
      <c r="L117" s="175">
        <v>53.612000000000002</v>
      </c>
    </row>
    <row r="118" spans="1:12" x14ac:dyDescent="0.25">
      <c r="A118" s="164">
        <f t="shared" si="1"/>
        <v>118</v>
      </c>
      <c r="B118" s="165" t="s">
        <v>249</v>
      </c>
      <c r="C118" s="165" t="s">
        <v>174</v>
      </c>
      <c r="D118" s="178"/>
      <c r="E118" s="178">
        <v>25.408000000000001</v>
      </c>
      <c r="F118" s="178">
        <v>24.216999999999999</v>
      </c>
      <c r="G118" s="178">
        <v>30.7</v>
      </c>
      <c r="H118" s="175">
        <v>34.512</v>
      </c>
      <c r="I118" s="175">
        <v>36.491999999999997</v>
      </c>
      <c r="J118" s="175">
        <v>38.749000000000002</v>
      </c>
      <c r="K118" s="175">
        <v>42.838000000000001</v>
      </c>
      <c r="L118" s="175">
        <v>47.137999999999998</v>
      </c>
    </row>
    <row r="119" spans="1:12" x14ac:dyDescent="0.25">
      <c r="A119" s="164">
        <f t="shared" si="1"/>
        <v>119</v>
      </c>
      <c r="B119" s="165" t="s">
        <v>250</v>
      </c>
      <c r="C119" s="165" t="s">
        <v>174</v>
      </c>
      <c r="D119" s="178"/>
      <c r="E119" s="178">
        <v>26.497</v>
      </c>
      <c r="F119" s="178">
        <v>28.234000000000002</v>
      </c>
      <c r="G119" s="178">
        <v>28.582999999999998</v>
      </c>
      <c r="H119" s="175">
        <v>29.411000000000001</v>
      </c>
      <c r="I119" s="175">
        <v>30.428000000000001</v>
      </c>
      <c r="J119" s="175">
        <v>31.28</v>
      </c>
      <c r="K119" s="175">
        <v>32.015000000000001</v>
      </c>
      <c r="L119" s="175">
        <v>32.734999999999999</v>
      </c>
    </row>
    <row r="120" spans="1:12" x14ac:dyDescent="0.25">
      <c r="A120" s="164">
        <f t="shared" si="1"/>
        <v>120</v>
      </c>
      <c r="B120" s="165" t="s">
        <v>251</v>
      </c>
      <c r="C120" s="165" t="s">
        <v>174</v>
      </c>
      <c r="D120" s="178"/>
      <c r="E120" s="178">
        <v>0.995</v>
      </c>
      <c r="F120" s="178">
        <v>1.1100000000000001</v>
      </c>
      <c r="G120" s="178">
        <v>1.167</v>
      </c>
      <c r="H120" s="175">
        <v>1.0569999999999999</v>
      </c>
      <c r="I120" s="175">
        <v>1.0069999999999999</v>
      </c>
      <c r="J120" s="175">
        <v>0.99399999999999999</v>
      </c>
      <c r="K120" s="175">
        <v>0.97799999999999998</v>
      </c>
      <c r="L120" s="175">
        <v>0.97299999999999998</v>
      </c>
    </row>
    <row r="121" spans="1:12" x14ac:dyDescent="0.25">
      <c r="A121" s="164">
        <f t="shared" si="1"/>
        <v>121</v>
      </c>
      <c r="B121" s="165" t="s">
        <v>252</v>
      </c>
      <c r="C121" s="165" t="s">
        <v>174</v>
      </c>
      <c r="D121" s="178"/>
      <c r="E121" s="178">
        <v>2.3889999999999998</v>
      </c>
      <c r="F121" s="178">
        <v>2.9140000000000001</v>
      </c>
      <c r="G121" s="178">
        <v>3.0790000000000002</v>
      </c>
      <c r="H121" s="175">
        <v>2.6190000000000002</v>
      </c>
      <c r="I121" s="175">
        <v>2.661</v>
      </c>
      <c r="J121" s="175">
        <v>2.661</v>
      </c>
      <c r="K121" s="175">
        <v>2.6789999999999998</v>
      </c>
      <c r="L121" s="175">
        <v>2.698</v>
      </c>
    </row>
    <row r="122" spans="1:12" x14ac:dyDescent="0.25">
      <c r="A122" s="164">
        <f t="shared" si="1"/>
        <v>122</v>
      </c>
      <c r="B122" s="165" t="s">
        <v>253</v>
      </c>
      <c r="C122" s="165" t="s">
        <v>171</v>
      </c>
      <c r="D122" s="178"/>
      <c r="E122" s="178">
        <v>124.55800000000001</v>
      </c>
      <c r="F122" s="178">
        <v>134.499</v>
      </c>
      <c r="G122" s="178">
        <v>144.55000000000001</v>
      </c>
      <c r="H122" s="175">
        <v>149.32300000000001</v>
      </c>
      <c r="I122" s="175">
        <v>154.30000000000001</v>
      </c>
      <c r="J122" s="175">
        <v>157.62700000000001</v>
      </c>
      <c r="K122" s="175">
        <v>158.63800000000001</v>
      </c>
      <c r="L122" s="175">
        <v>160.27799999999999</v>
      </c>
    </row>
    <row r="123" spans="1:12" x14ac:dyDescent="0.25">
      <c r="A123" s="164">
        <f t="shared" si="1"/>
        <v>123</v>
      </c>
      <c r="B123" s="165" t="s">
        <v>254</v>
      </c>
      <c r="C123" s="165" t="s">
        <v>174</v>
      </c>
      <c r="D123" s="178"/>
      <c r="E123" s="178">
        <v>11.917999999999999</v>
      </c>
      <c r="F123" s="178">
        <v>12.705</v>
      </c>
      <c r="G123" s="178">
        <v>14.21</v>
      </c>
      <c r="H123" s="175">
        <v>14.678000000000001</v>
      </c>
      <c r="I123" s="175">
        <v>15.161</v>
      </c>
      <c r="J123" s="175">
        <v>15.617000000000001</v>
      </c>
      <c r="K123" s="175">
        <v>16.170999999999999</v>
      </c>
      <c r="L123" s="175">
        <v>16.693999999999999</v>
      </c>
    </row>
    <row r="124" spans="1:12" x14ac:dyDescent="0.25">
      <c r="A124" s="164">
        <f t="shared" si="1"/>
        <v>124</v>
      </c>
      <c r="B124" s="165" t="s">
        <v>255</v>
      </c>
      <c r="C124" s="165" t="s">
        <v>171</v>
      </c>
      <c r="D124" s="178"/>
      <c r="E124" s="178">
        <v>3.056</v>
      </c>
      <c r="F124" s="178">
        <v>3.1960000000000002</v>
      </c>
      <c r="G124" s="178">
        <v>3.5529999999999999</v>
      </c>
      <c r="H124" s="175">
        <v>3.887</v>
      </c>
      <c r="I124" s="175">
        <v>3.9159999999999999</v>
      </c>
      <c r="J124" s="175">
        <v>3.8959999999999999</v>
      </c>
      <c r="K124" s="175">
        <v>3.8119999999999998</v>
      </c>
      <c r="L124" s="175">
        <v>3.7160000000000002</v>
      </c>
    </row>
    <row r="125" spans="1:12" x14ac:dyDescent="0.25">
      <c r="A125" s="164">
        <f t="shared" si="1"/>
        <v>125</v>
      </c>
      <c r="B125" s="165" t="s">
        <v>256</v>
      </c>
      <c r="C125" s="164"/>
      <c r="D125" s="178"/>
      <c r="E125" s="178">
        <v>0</v>
      </c>
      <c r="F125" s="178">
        <v>0</v>
      </c>
      <c r="G125" s="178">
        <v>0</v>
      </c>
      <c r="H125" s="175">
        <v>0.30399999999999999</v>
      </c>
      <c r="I125" s="175">
        <v>2.2690000000000001</v>
      </c>
      <c r="J125" s="175">
        <v>4.734</v>
      </c>
      <c r="K125" s="175">
        <v>7.4790000000000001</v>
      </c>
      <c r="L125" s="175">
        <v>10.199</v>
      </c>
    </row>
    <row r="126" spans="1:12" x14ac:dyDescent="0.25">
      <c r="A126" s="164">
        <f t="shared" si="1"/>
        <v>126</v>
      </c>
      <c r="B126" s="165" t="s">
        <v>257</v>
      </c>
      <c r="C126" s="164"/>
      <c r="D126" s="178"/>
      <c r="E126" s="178">
        <v>0</v>
      </c>
      <c r="F126" s="178">
        <v>0</v>
      </c>
      <c r="G126" s="178">
        <v>0</v>
      </c>
      <c r="H126" s="175">
        <v>-1.1000000000000001</v>
      </c>
      <c r="I126" s="175">
        <v>-1.55</v>
      </c>
      <c r="J126" s="175">
        <v>-1.8</v>
      </c>
      <c r="K126" s="175">
        <v>-1.9</v>
      </c>
      <c r="L126" s="175">
        <v>-1.95</v>
      </c>
    </row>
    <row r="127" spans="1:12" x14ac:dyDescent="0.25">
      <c r="A127" s="164">
        <f t="shared" si="1"/>
        <v>127</v>
      </c>
      <c r="B127" s="170" t="s">
        <v>258</v>
      </c>
      <c r="C127" s="164"/>
      <c r="D127" s="178"/>
      <c r="E127" s="179">
        <v>278.70300000000003</v>
      </c>
      <c r="F127" s="179">
        <v>292.67900000000003</v>
      </c>
      <c r="G127" s="179">
        <v>313.60899999999998</v>
      </c>
      <c r="H127" s="180">
        <v>316.31699999999995</v>
      </c>
      <c r="I127" s="180">
        <v>323.33600000000001</v>
      </c>
      <c r="J127" s="180">
        <v>333.46699999999998</v>
      </c>
      <c r="K127" s="180">
        <v>342.74400000000003</v>
      </c>
      <c r="L127" s="180">
        <v>364.79600000000005</v>
      </c>
    </row>
    <row r="128" spans="1:12" x14ac:dyDescent="0.25">
      <c r="A128" s="164">
        <f t="shared" si="1"/>
        <v>128</v>
      </c>
      <c r="B128" s="165" t="s">
        <v>259</v>
      </c>
      <c r="C128" s="165" t="s">
        <v>174</v>
      </c>
      <c r="D128" s="178"/>
      <c r="E128" s="178">
        <v>5.3360000000000003</v>
      </c>
      <c r="F128" s="178">
        <v>5.7149999999999999</v>
      </c>
      <c r="G128" s="178">
        <v>5.98</v>
      </c>
      <c r="H128" s="175">
        <v>6.085</v>
      </c>
      <c r="I128" s="175">
        <v>6.2670000000000003</v>
      </c>
      <c r="J128" s="175">
        <v>6.4550000000000001</v>
      </c>
      <c r="K128" s="175">
        <v>6.649</v>
      </c>
      <c r="L128" s="175">
        <v>6.8490000000000002</v>
      </c>
    </row>
    <row r="129" spans="1:12" x14ac:dyDescent="0.25">
      <c r="A129" s="164">
        <f t="shared" si="1"/>
        <v>129</v>
      </c>
      <c r="B129" s="165" t="s">
        <v>260</v>
      </c>
      <c r="C129" s="165" t="s">
        <v>174</v>
      </c>
      <c r="D129" s="178"/>
      <c r="E129" s="178">
        <v>11.952999999999999</v>
      </c>
      <c r="F129" s="178">
        <v>12.029</v>
      </c>
      <c r="G129" s="178">
        <v>14.794</v>
      </c>
      <c r="H129" s="175">
        <v>12.305999999999999</v>
      </c>
      <c r="I129" s="175">
        <v>12.387</v>
      </c>
      <c r="J129" s="175">
        <v>12.323</v>
      </c>
      <c r="K129" s="175">
        <v>13.135999999999999</v>
      </c>
      <c r="L129" s="175">
        <v>12.852</v>
      </c>
    </row>
    <row r="130" spans="1:12" x14ac:dyDescent="0.25">
      <c r="A130" s="164">
        <f t="shared" si="1"/>
        <v>130</v>
      </c>
      <c r="B130" s="165" t="s">
        <v>261</v>
      </c>
      <c r="C130" s="165" t="s">
        <v>174</v>
      </c>
      <c r="D130" s="178"/>
      <c r="E130" s="178">
        <v>2.1120000000000001</v>
      </c>
      <c r="F130" s="178">
        <v>2.1779999999999999</v>
      </c>
      <c r="G130" s="178">
        <v>2.2240000000000002</v>
      </c>
      <c r="H130" s="175">
        <v>2.1179999999999999</v>
      </c>
      <c r="I130" s="175">
        <v>2.1840000000000002</v>
      </c>
      <c r="J130" s="175">
        <v>2.2000000000000002</v>
      </c>
      <c r="K130" s="175">
        <v>2.2440000000000002</v>
      </c>
      <c r="L130" s="175">
        <v>2.27</v>
      </c>
    </row>
    <row r="131" spans="1:12" x14ac:dyDescent="0.25">
      <c r="A131" s="164">
        <f t="shared" ref="A131:A194" si="2">+A130+1</f>
        <v>131</v>
      </c>
      <c r="B131" s="165" t="s">
        <v>262</v>
      </c>
      <c r="C131" s="165" t="s">
        <v>174</v>
      </c>
      <c r="D131" s="178"/>
      <c r="E131" s="178">
        <v>112.58</v>
      </c>
      <c r="F131" s="178">
        <v>113.956</v>
      </c>
      <c r="G131" s="178">
        <v>111.806</v>
      </c>
      <c r="H131" s="175">
        <v>110.904</v>
      </c>
      <c r="I131" s="175">
        <v>111.83199999999999</v>
      </c>
      <c r="J131" s="175">
        <v>112.72199999999999</v>
      </c>
      <c r="K131" s="175">
        <v>109.605</v>
      </c>
      <c r="L131" s="175">
        <v>117.503</v>
      </c>
    </row>
    <row r="132" spans="1:12" x14ac:dyDescent="0.25">
      <c r="A132" s="164">
        <f t="shared" si="2"/>
        <v>132</v>
      </c>
      <c r="B132" s="165" t="s">
        <v>263</v>
      </c>
      <c r="C132" s="165" t="s">
        <v>171</v>
      </c>
      <c r="D132" s="178"/>
      <c r="E132" s="178">
        <v>36.430999999999997</v>
      </c>
      <c r="F132" s="178">
        <v>42.125999999999998</v>
      </c>
      <c r="G132" s="178">
        <v>42.786000000000001</v>
      </c>
      <c r="H132" s="175">
        <v>43.363999999999997</v>
      </c>
      <c r="I132" s="175">
        <v>44.186</v>
      </c>
      <c r="J132" s="175">
        <v>45.783999999999999</v>
      </c>
      <c r="K132" s="175">
        <v>47.720999999999997</v>
      </c>
      <c r="L132" s="175">
        <v>49.707999999999998</v>
      </c>
    </row>
    <row r="133" spans="1:12" x14ac:dyDescent="0.25">
      <c r="A133" s="164">
        <f t="shared" si="2"/>
        <v>133</v>
      </c>
      <c r="B133" s="165" t="s">
        <v>264</v>
      </c>
      <c r="C133" s="165" t="s">
        <v>174</v>
      </c>
      <c r="D133" s="178"/>
      <c r="E133" s="178">
        <v>10.834</v>
      </c>
      <c r="F133" s="178">
        <v>12.442</v>
      </c>
      <c r="G133" s="178">
        <v>11.006</v>
      </c>
      <c r="H133" s="175">
        <v>10.388</v>
      </c>
      <c r="I133" s="175">
        <v>9.8249999999999993</v>
      </c>
      <c r="J133" s="175">
        <v>9.2870000000000008</v>
      </c>
      <c r="K133" s="175">
        <v>8.7769999999999992</v>
      </c>
      <c r="L133" s="175">
        <v>8.2889999999999997</v>
      </c>
    </row>
    <row r="134" spans="1:12" x14ac:dyDescent="0.25">
      <c r="A134" s="164">
        <f t="shared" si="2"/>
        <v>134</v>
      </c>
      <c r="B134" s="165" t="s">
        <v>265</v>
      </c>
      <c r="C134" s="165" t="s">
        <v>174</v>
      </c>
      <c r="D134" s="178"/>
      <c r="E134" s="178">
        <v>7.2210000000000001</v>
      </c>
      <c r="F134" s="178">
        <v>8.7119999999999997</v>
      </c>
      <c r="G134" s="178">
        <v>8.5410000000000004</v>
      </c>
      <c r="H134" s="175">
        <v>8.7040000000000006</v>
      </c>
      <c r="I134" s="175">
        <v>8.3279999999999994</v>
      </c>
      <c r="J134" s="175">
        <v>7.8920000000000003</v>
      </c>
      <c r="K134" s="175">
        <v>7.4989999999999997</v>
      </c>
      <c r="L134" s="175">
        <v>7.0709999999999997</v>
      </c>
    </row>
    <row r="135" spans="1:12" x14ac:dyDescent="0.25">
      <c r="A135" s="164">
        <f t="shared" si="2"/>
        <v>135</v>
      </c>
      <c r="B135" s="170" t="s">
        <v>266</v>
      </c>
      <c r="C135" s="164"/>
      <c r="D135" s="178"/>
      <c r="E135" s="179">
        <v>186.46699999999998</v>
      </c>
      <c r="F135" s="179">
        <v>197.15800000000002</v>
      </c>
      <c r="G135" s="179">
        <v>197.137</v>
      </c>
      <c r="H135" s="180">
        <v>193.869</v>
      </c>
      <c r="I135" s="180">
        <v>195.00899999999999</v>
      </c>
      <c r="J135" s="180">
        <v>196.66299999999998</v>
      </c>
      <c r="K135" s="180">
        <v>195.631</v>
      </c>
      <c r="L135" s="180">
        <v>204.54199999999997</v>
      </c>
    </row>
    <row r="136" spans="1:12" x14ac:dyDescent="0.25">
      <c r="A136" s="164">
        <f t="shared" si="2"/>
        <v>136</v>
      </c>
      <c r="B136" s="170" t="s">
        <v>267</v>
      </c>
      <c r="C136" s="164"/>
      <c r="D136" s="178"/>
      <c r="E136" s="181">
        <v>92.236000000000004</v>
      </c>
      <c r="F136" s="181">
        <v>95.521000000000001</v>
      </c>
      <c r="G136" s="181">
        <v>116.47199999999999</v>
      </c>
      <c r="H136" s="182">
        <v>122.44799999999999</v>
      </c>
      <c r="I136" s="182">
        <v>128.327</v>
      </c>
      <c r="J136" s="182">
        <v>136.804</v>
      </c>
      <c r="K136" s="182">
        <v>147.113</v>
      </c>
      <c r="L136" s="182">
        <v>160.25399999999999</v>
      </c>
    </row>
    <row r="137" spans="1:12" x14ac:dyDescent="0.25">
      <c r="A137" s="164">
        <f t="shared" si="2"/>
        <v>137</v>
      </c>
      <c r="B137" s="170" t="s">
        <v>268</v>
      </c>
      <c r="C137" s="164"/>
      <c r="D137" s="178"/>
      <c r="E137" s="183" t="s">
        <v>196</v>
      </c>
      <c r="F137" s="183" t="s">
        <v>196</v>
      </c>
      <c r="G137" s="183" t="s">
        <v>196</v>
      </c>
      <c r="H137" s="184" t="s">
        <v>196</v>
      </c>
      <c r="I137" s="184" t="s">
        <v>196</v>
      </c>
      <c r="J137" s="184" t="s">
        <v>196</v>
      </c>
      <c r="K137" s="184" t="s">
        <v>196</v>
      </c>
      <c r="L137" s="184" t="s">
        <v>196</v>
      </c>
    </row>
    <row r="138" spans="1:12" x14ac:dyDescent="0.25">
      <c r="A138" s="164">
        <f t="shared" si="2"/>
        <v>138</v>
      </c>
      <c r="B138" s="170" t="s">
        <v>269</v>
      </c>
      <c r="C138" s="165" t="s">
        <v>174</v>
      </c>
      <c r="D138" s="178"/>
      <c r="E138" s="178">
        <v>5.782</v>
      </c>
      <c r="F138" s="178">
        <v>6.1550000000000002</v>
      </c>
      <c r="G138" s="178">
        <v>5.94</v>
      </c>
      <c r="H138" s="175">
        <v>5.88</v>
      </c>
      <c r="I138" s="175">
        <v>5.8150000000000004</v>
      </c>
      <c r="J138" s="175">
        <v>5.7489999999999997</v>
      </c>
      <c r="K138" s="175">
        <v>5.6550000000000002</v>
      </c>
      <c r="L138" s="175">
        <v>5.6070000000000002</v>
      </c>
    </row>
    <row r="139" spans="1:12" x14ac:dyDescent="0.25">
      <c r="A139" s="164">
        <f t="shared" si="2"/>
        <v>139</v>
      </c>
      <c r="B139" s="166" t="s">
        <v>270</v>
      </c>
      <c r="C139" s="164"/>
      <c r="D139" s="178"/>
      <c r="E139" s="175"/>
      <c r="F139" s="175"/>
      <c r="G139" s="175"/>
      <c r="H139" s="175"/>
      <c r="I139" s="175"/>
      <c r="J139" s="175"/>
      <c r="K139" s="175"/>
      <c r="L139" s="175"/>
    </row>
    <row r="140" spans="1:12" x14ac:dyDescent="0.25">
      <c r="A140" s="164">
        <f t="shared" si="2"/>
        <v>140</v>
      </c>
      <c r="B140" s="165" t="s">
        <v>271</v>
      </c>
      <c r="C140" s="165" t="s">
        <v>174</v>
      </c>
      <c r="D140" s="178"/>
      <c r="E140" s="178">
        <v>95.649000000000001</v>
      </c>
      <c r="F140" s="178">
        <v>95.037000000000006</v>
      </c>
      <c r="G140" s="178">
        <v>94.106999999999999</v>
      </c>
      <c r="H140" s="175">
        <v>92.454999999999998</v>
      </c>
      <c r="I140" s="175">
        <v>91.498999999999995</v>
      </c>
      <c r="J140" s="175">
        <v>91.257999999999996</v>
      </c>
      <c r="K140" s="175">
        <v>87.335999999999999</v>
      </c>
      <c r="L140" s="175">
        <v>94.643000000000001</v>
      </c>
    </row>
    <row r="141" spans="1:12" x14ac:dyDescent="0.25">
      <c r="A141" s="164">
        <f t="shared" si="2"/>
        <v>141</v>
      </c>
      <c r="B141" s="165" t="s">
        <v>272</v>
      </c>
      <c r="C141" s="165" t="s">
        <v>174</v>
      </c>
      <c r="D141" s="178"/>
      <c r="E141" s="178">
        <v>2.4929999999999999</v>
      </c>
      <c r="F141" s="178">
        <v>1.754</v>
      </c>
      <c r="G141" s="178">
        <v>1.4870000000000001</v>
      </c>
      <c r="H141" s="175">
        <v>1.1120000000000001</v>
      </c>
      <c r="I141" s="175">
        <v>1.1259999999999999</v>
      </c>
      <c r="J141" s="175">
        <v>1.135</v>
      </c>
      <c r="K141" s="175">
        <v>1.1359999999999999</v>
      </c>
      <c r="L141" s="175">
        <v>1.1399999999999999</v>
      </c>
    </row>
    <row r="142" spans="1:12" x14ac:dyDescent="0.25">
      <c r="A142" s="164">
        <f t="shared" si="2"/>
        <v>142</v>
      </c>
      <c r="B142" s="170" t="s">
        <v>273</v>
      </c>
      <c r="C142" s="164"/>
      <c r="D142" s="178"/>
      <c r="E142" s="179">
        <v>93.156000000000006</v>
      </c>
      <c r="F142" s="179">
        <v>93.283000000000001</v>
      </c>
      <c r="G142" s="179">
        <v>92.62</v>
      </c>
      <c r="H142" s="180">
        <v>91.343000000000004</v>
      </c>
      <c r="I142" s="180">
        <v>90.37299999999999</v>
      </c>
      <c r="J142" s="180">
        <v>90.12299999999999</v>
      </c>
      <c r="K142" s="180">
        <v>86.2</v>
      </c>
      <c r="L142" s="180">
        <v>93.503</v>
      </c>
    </row>
    <row r="143" spans="1:12" x14ac:dyDescent="0.25">
      <c r="A143" s="164">
        <f t="shared" si="2"/>
        <v>143</v>
      </c>
      <c r="B143" s="165" t="s">
        <v>274</v>
      </c>
      <c r="C143" s="165" t="s">
        <v>174</v>
      </c>
      <c r="D143" s="178"/>
      <c r="E143" s="178">
        <v>76.433999999999997</v>
      </c>
      <c r="F143" s="178">
        <v>75.793000000000006</v>
      </c>
      <c r="G143" s="178">
        <v>81.015000000000001</v>
      </c>
      <c r="H143" s="175">
        <v>78.808000000000007</v>
      </c>
      <c r="I143" s="175">
        <v>76.186000000000007</v>
      </c>
      <c r="J143" s="175">
        <v>77.394999999999996</v>
      </c>
      <c r="K143" s="175">
        <v>78.796000000000006</v>
      </c>
      <c r="L143" s="175">
        <v>93.8</v>
      </c>
    </row>
    <row r="144" spans="1:12" x14ac:dyDescent="0.25">
      <c r="A144" s="164">
        <f t="shared" si="2"/>
        <v>144</v>
      </c>
      <c r="B144" s="170" t="s">
        <v>275</v>
      </c>
      <c r="C144" s="164"/>
      <c r="D144" s="178"/>
      <c r="E144" s="179">
        <v>16.722000000000008</v>
      </c>
      <c r="F144" s="179">
        <v>17.489999999999995</v>
      </c>
      <c r="G144" s="179">
        <v>11.605000000000004</v>
      </c>
      <c r="H144" s="180">
        <v>12.534999999999997</v>
      </c>
      <c r="I144" s="180">
        <v>14.186999999999983</v>
      </c>
      <c r="J144" s="180">
        <v>12.727999999999994</v>
      </c>
      <c r="K144" s="180">
        <v>7.4039999999999964</v>
      </c>
      <c r="L144" s="180">
        <v>-0.29699999999999704</v>
      </c>
    </row>
    <row r="145" spans="1:12" x14ac:dyDescent="0.25">
      <c r="A145" s="164">
        <f t="shared" si="2"/>
        <v>145</v>
      </c>
      <c r="B145" s="165" t="s">
        <v>276</v>
      </c>
      <c r="C145" s="165" t="s">
        <v>174</v>
      </c>
      <c r="D145" s="178"/>
      <c r="E145" s="178">
        <v>14.14</v>
      </c>
      <c r="F145" s="178">
        <v>14.612</v>
      </c>
      <c r="G145" s="178">
        <v>12.013999999999999</v>
      </c>
      <c r="H145" s="175">
        <v>11.749000000000001</v>
      </c>
      <c r="I145" s="175">
        <v>11.618</v>
      </c>
      <c r="J145" s="175">
        <v>11.339</v>
      </c>
      <c r="K145" s="175">
        <v>11.032999999999999</v>
      </c>
      <c r="L145" s="175">
        <v>10.53</v>
      </c>
    </row>
    <row r="146" spans="1:12" x14ac:dyDescent="0.25">
      <c r="A146" s="164">
        <f t="shared" si="2"/>
        <v>146</v>
      </c>
      <c r="B146" s="165" t="s">
        <v>277</v>
      </c>
      <c r="C146" s="165" t="s">
        <v>174</v>
      </c>
      <c r="D146" s="178"/>
      <c r="E146" s="178">
        <v>29.768999999999998</v>
      </c>
      <c r="F146" s="178">
        <v>29.777999999999999</v>
      </c>
      <c r="G146" s="178">
        <v>35.860999999999997</v>
      </c>
      <c r="H146" s="175">
        <v>37.83</v>
      </c>
      <c r="I146" s="175">
        <v>41.021999999999998</v>
      </c>
      <c r="J146" s="175">
        <v>45.337000000000003</v>
      </c>
      <c r="K146" s="175">
        <v>50.593000000000004</v>
      </c>
      <c r="L146" s="175">
        <v>56.53</v>
      </c>
    </row>
    <row r="147" spans="1:12" x14ac:dyDescent="0.25">
      <c r="A147" s="164">
        <f t="shared" si="2"/>
        <v>147</v>
      </c>
      <c r="B147" s="170" t="s">
        <v>278</v>
      </c>
      <c r="C147" s="165" t="s">
        <v>174</v>
      </c>
      <c r="D147" s="178"/>
      <c r="E147" s="181">
        <v>60.631</v>
      </c>
      <c r="F147" s="181">
        <v>61.88</v>
      </c>
      <c r="G147" s="181">
        <v>59.48</v>
      </c>
      <c r="H147" s="182">
        <v>62.113999999999997</v>
      </c>
      <c r="I147" s="182">
        <v>66.826999999999998</v>
      </c>
      <c r="J147" s="182">
        <v>69.403999999999996</v>
      </c>
      <c r="K147" s="182">
        <v>69.03</v>
      </c>
      <c r="L147" s="182">
        <v>66.763000000000005</v>
      </c>
    </row>
    <row r="148" spans="1:12" x14ac:dyDescent="0.25">
      <c r="A148" s="164">
        <f t="shared" si="2"/>
        <v>148</v>
      </c>
      <c r="B148" s="170" t="s">
        <v>279</v>
      </c>
      <c r="C148" s="164"/>
      <c r="D148" s="178"/>
      <c r="E148" s="183" t="s">
        <v>196</v>
      </c>
      <c r="F148" s="183" t="s">
        <v>196</v>
      </c>
      <c r="G148" s="183" t="s">
        <v>196</v>
      </c>
      <c r="H148" s="184" t="s">
        <v>196</v>
      </c>
      <c r="I148" s="184" t="s">
        <v>196</v>
      </c>
      <c r="J148" s="184" t="s">
        <v>196</v>
      </c>
      <c r="K148" s="184" t="s">
        <v>196</v>
      </c>
      <c r="L148" s="184" t="s">
        <v>196</v>
      </c>
    </row>
    <row r="149" spans="1:12" x14ac:dyDescent="0.25">
      <c r="A149" s="164">
        <f t="shared" si="2"/>
        <v>149</v>
      </c>
      <c r="B149" s="166" t="s">
        <v>280</v>
      </c>
      <c r="C149" s="164"/>
      <c r="D149" s="178"/>
      <c r="E149" s="175"/>
      <c r="F149" s="175"/>
      <c r="G149" s="175"/>
      <c r="H149" s="175"/>
      <c r="I149" s="175"/>
      <c r="J149" s="175"/>
      <c r="K149" s="175"/>
      <c r="L149" s="175"/>
    </row>
    <row r="150" spans="1:12" x14ac:dyDescent="0.25">
      <c r="A150" s="164">
        <f t="shared" si="2"/>
        <v>150</v>
      </c>
      <c r="B150" s="165" t="s">
        <v>170</v>
      </c>
      <c r="C150" s="165" t="s">
        <v>174</v>
      </c>
      <c r="D150" s="178"/>
      <c r="E150" s="178">
        <v>66.635999999999996</v>
      </c>
      <c r="F150" s="178">
        <v>70.444999999999993</v>
      </c>
      <c r="G150" s="178">
        <v>75.644000000000005</v>
      </c>
      <c r="H150" s="175">
        <v>78.171999999999997</v>
      </c>
      <c r="I150" s="175">
        <v>82.816999999999993</v>
      </c>
      <c r="J150" s="175">
        <v>87.811000000000007</v>
      </c>
      <c r="K150" s="175">
        <v>92.984999999999999</v>
      </c>
      <c r="L150" s="175">
        <v>97.814999999999998</v>
      </c>
    </row>
    <row r="151" spans="1:12" x14ac:dyDescent="0.25">
      <c r="A151" s="164">
        <f t="shared" si="2"/>
        <v>151</v>
      </c>
      <c r="B151" s="165" t="s">
        <v>172</v>
      </c>
      <c r="C151" s="165" t="s">
        <v>174</v>
      </c>
      <c r="D151" s="178"/>
      <c r="E151" s="178">
        <v>0.99299999999999999</v>
      </c>
      <c r="F151" s="178">
        <v>1.1160000000000001</v>
      </c>
      <c r="G151" s="178">
        <v>1.458</v>
      </c>
      <c r="H151" s="175">
        <v>1.5089999999999999</v>
      </c>
      <c r="I151" s="175">
        <v>1.6459999999999999</v>
      </c>
      <c r="J151" s="175">
        <v>1.6930000000000001</v>
      </c>
      <c r="K151" s="175">
        <v>1.7490000000000001</v>
      </c>
      <c r="L151" s="175">
        <v>1.7889999999999999</v>
      </c>
    </row>
    <row r="152" spans="1:12" x14ac:dyDescent="0.25">
      <c r="A152" s="164">
        <f t="shared" si="2"/>
        <v>152</v>
      </c>
      <c r="B152" s="165" t="s">
        <v>173</v>
      </c>
      <c r="C152" s="165" t="s">
        <v>174</v>
      </c>
      <c r="D152" s="178"/>
      <c r="E152" s="178">
        <v>1.393</v>
      </c>
      <c r="F152" s="178">
        <v>1.4530000000000001</v>
      </c>
      <c r="G152" s="178">
        <v>1.607</v>
      </c>
      <c r="H152" s="175">
        <v>1.7050000000000001</v>
      </c>
      <c r="I152" s="175">
        <v>1.722</v>
      </c>
      <c r="J152" s="175">
        <v>1.7390000000000001</v>
      </c>
      <c r="K152" s="175">
        <v>1.728</v>
      </c>
      <c r="L152" s="175">
        <v>1.744</v>
      </c>
    </row>
    <row r="153" spans="1:12" x14ac:dyDescent="0.25">
      <c r="A153" s="164">
        <f t="shared" si="2"/>
        <v>153</v>
      </c>
      <c r="B153" s="165" t="s">
        <v>175</v>
      </c>
      <c r="C153" s="165" t="s">
        <v>174</v>
      </c>
      <c r="D153" s="178"/>
      <c r="E153" s="178">
        <v>2.452</v>
      </c>
      <c r="F153" s="178">
        <v>2.3889999999999998</v>
      </c>
      <c r="G153" s="178">
        <v>2.6379999999999999</v>
      </c>
      <c r="H153" s="175">
        <v>2.605</v>
      </c>
      <c r="I153" s="175">
        <v>2.6560000000000001</v>
      </c>
      <c r="J153" s="175">
        <v>2.766</v>
      </c>
      <c r="K153" s="175">
        <v>2.8809999999999998</v>
      </c>
      <c r="L153" s="175">
        <v>2.9889999999999999</v>
      </c>
    </row>
    <row r="154" spans="1:12" x14ac:dyDescent="0.25">
      <c r="A154" s="164">
        <f t="shared" si="2"/>
        <v>154</v>
      </c>
      <c r="B154" s="165" t="s">
        <v>76</v>
      </c>
      <c r="C154" s="165" t="s">
        <v>174</v>
      </c>
      <c r="D154" s="178"/>
      <c r="E154" s="178">
        <v>0.73899999999999999</v>
      </c>
      <c r="F154" s="178">
        <v>0.71799999999999997</v>
      </c>
      <c r="G154" s="178">
        <v>0.435</v>
      </c>
      <c r="H154" s="175">
        <v>0.67900000000000005</v>
      </c>
      <c r="I154" s="175">
        <v>0.61599999999999999</v>
      </c>
      <c r="J154" s="175">
        <v>0.61699999999999999</v>
      </c>
      <c r="K154" s="175">
        <v>0.61599999999999999</v>
      </c>
      <c r="L154" s="175">
        <v>0.61699999999999999</v>
      </c>
    </row>
    <row r="155" spans="1:12" x14ac:dyDescent="0.25">
      <c r="A155" s="164">
        <f t="shared" si="2"/>
        <v>155</v>
      </c>
      <c r="B155" s="170" t="s">
        <v>281</v>
      </c>
      <c r="C155" s="165" t="s">
        <v>171</v>
      </c>
      <c r="D155" s="178"/>
      <c r="E155" s="181">
        <v>72.212999999999994</v>
      </c>
      <c r="F155" s="181">
        <v>76.120999999999995</v>
      </c>
      <c r="G155" s="181">
        <v>81.781999999999996</v>
      </c>
      <c r="H155" s="182">
        <v>84.67</v>
      </c>
      <c r="I155" s="182">
        <v>89.456999999999994</v>
      </c>
      <c r="J155" s="182">
        <v>94.626000000000005</v>
      </c>
      <c r="K155" s="182">
        <v>99.959000000000003</v>
      </c>
      <c r="L155" s="182">
        <v>104.95399999999999</v>
      </c>
    </row>
    <row r="156" spans="1:12" x14ac:dyDescent="0.25">
      <c r="A156" s="164">
        <f t="shared" si="2"/>
        <v>156</v>
      </c>
      <c r="B156" s="170" t="s">
        <v>282</v>
      </c>
      <c r="C156" s="164"/>
      <c r="D156" s="178"/>
      <c r="E156" s="183" t="s">
        <v>196</v>
      </c>
      <c r="F156" s="183" t="s">
        <v>196</v>
      </c>
      <c r="G156" s="183" t="s">
        <v>196</v>
      </c>
      <c r="H156" s="184" t="s">
        <v>196</v>
      </c>
      <c r="I156" s="184" t="s">
        <v>196</v>
      </c>
      <c r="J156" s="184" t="s">
        <v>196</v>
      </c>
      <c r="K156" s="184" t="s">
        <v>196</v>
      </c>
      <c r="L156" s="184" t="s">
        <v>196</v>
      </c>
    </row>
    <row r="157" spans="1:12" x14ac:dyDescent="0.25">
      <c r="A157" s="164">
        <f t="shared" si="2"/>
        <v>157</v>
      </c>
      <c r="B157" s="165" t="s">
        <v>283</v>
      </c>
      <c r="C157" s="165" t="s">
        <v>174</v>
      </c>
      <c r="D157" s="178"/>
      <c r="E157" s="178">
        <v>23.722999999999999</v>
      </c>
      <c r="F157" s="178">
        <v>24.312000000000001</v>
      </c>
      <c r="G157" s="178">
        <v>25.263999999999999</v>
      </c>
      <c r="H157" s="175">
        <v>26.396000000000001</v>
      </c>
      <c r="I157" s="175">
        <v>28.901</v>
      </c>
      <c r="J157" s="175">
        <v>29.988</v>
      </c>
      <c r="K157" s="175">
        <v>31.172999999999998</v>
      </c>
      <c r="L157" s="175">
        <v>32.497999999999998</v>
      </c>
    </row>
    <row r="158" spans="1:12" x14ac:dyDescent="0.25">
      <c r="A158" s="164">
        <f t="shared" si="2"/>
        <v>158</v>
      </c>
      <c r="B158" s="165" t="s">
        <v>284</v>
      </c>
      <c r="C158" s="165" t="s">
        <v>174</v>
      </c>
      <c r="D158" s="178"/>
      <c r="E158" s="178">
        <v>6.5519999999999996</v>
      </c>
      <c r="F158" s="178">
        <v>6.6660000000000004</v>
      </c>
      <c r="G158" s="178">
        <v>6.89</v>
      </c>
      <c r="H158" s="175">
        <v>7.2510000000000003</v>
      </c>
      <c r="I158" s="175">
        <v>7.0819999999999999</v>
      </c>
      <c r="J158" s="175">
        <v>7.04</v>
      </c>
      <c r="K158" s="175">
        <v>7.03</v>
      </c>
      <c r="L158" s="175">
        <v>7.0419999999999998</v>
      </c>
    </row>
    <row r="159" spans="1:12" x14ac:dyDescent="0.25">
      <c r="A159" s="164">
        <f t="shared" si="2"/>
        <v>159</v>
      </c>
      <c r="B159" s="165" t="s">
        <v>285</v>
      </c>
      <c r="C159" s="165" t="s">
        <v>171</v>
      </c>
      <c r="D159" s="178"/>
      <c r="E159" s="178">
        <v>38.298999999999999</v>
      </c>
      <c r="F159" s="178">
        <v>39.361000000000004</v>
      </c>
      <c r="G159" s="178">
        <v>40.643000000000001</v>
      </c>
      <c r="H159" s="175">
        <v>45.643999999999998</v>
      </c>
      <c r="I159" s="175">
        <v>44.893000000000001</v>
      </c>
      <c r="J159" s="175">
        <v>44.756</v>
      </c>
      <c r="K159" s="175">
        <v>45.25</v>
      </c>
      <c r="L159" s="175">
        <v>44.95</v>
      </c>
    </row>
    <row r="160" spans="1:12" x14ac:dyDescent="0.25">
      <c r="A160" s="164">
        <f t="shared" si="2"/>
        <v>160</v>
      </c>
      <c r="B160" s="165" t="s">
        <v>181</v>
      </c>
      <c r="C160" s="165" t="s">
        <v>174</v>
      </c>
      <c r="D160" s="178"/>
      <c r="E160" s="178">
        <v>3.7829999999999999</v>
      </c>
      <c r="F160" s="178">
        <v>3.59</v>
      </c>
      <c r="G160" s="178">
        <v>3.5339999999999998</v>
      </c>
      <c r="H160" s="175">
        <v>3.5129999999999999</v>
      </c>
      <c r="I160" s="175">
        <v>3.46</v>
      </c>
      <c r="J160" s="175">
        <v>3.452</v>
      </c>
      <c r="K160" s="175">
        <v>3.508</v>
      </c>
      <c r="L160" s="175">
        <v>3.3039999999999998</v>
      </c>
    </row>
    <row r="161" spans="1:12" x14ac:dyDescent="0.25">
      <c r="A161" s="164">
        <f t="shared" si="2"/>
        <v>161</v>
      </c>
      <c r="B161" s="165" t="s">
        <v>182</v>
      </c>
      <c r="C161" s="165" t="s">
        <v>174</v>
      </c>
      <c r="D161" s="178"/>
      <c r="E161" s="178">
        <v>6.0000000000000001E-3</v>
      </c>
      <c r="F161" s="178">
        <v>0</v>
      </c>
      <c r="G161" s="178">
        <v>8.0000000000000002E-3</v>
      </c>
      <c r="H161" s="175">
        <v>3.5000000000000003E-2</v>
      </c>
      <c r="I161" s="175">
        <v>1E-3</v>
      </c>
      <c r="J161" s="175">
        <v>3.0000000000000001E-3</v>
      </c>
      <c r="K161" s="175">
        <v>2E-3</v>
      </c>
      <c r="L161" s="175">
        <v>1E-3</v>
      </c>
    </row>
    <row r="162" spans="1:12" x14ac:dyDescent="0.25">
      <c r="A162" s="164">
        <f t="shared" si="2"/>
        <v>162</v>
      </c>
      <c r="B162" s="170" t="s">
        <v>286</v>
      </c>
      <c r="C162" s="165" t="s">
        <v>171</v>
      </c>
      <c r="D162" s="178"/>
      <c r="E162" s="181">
        <v>72.363</v>
      </c>
      <c r="F162" s="181">
        <v>73.929000000000016</v>
      </c>
      <c r="G162" s="181">
        <v>76.338999999999999</v>
      </c>
      <c r="H162" s="182">
        <v>81.653000000000006</v>
      </c>
      <c r="I162" s="182">
        <v>86.308000000000007</v>
      </c>
      <c r="J162" s="182">
        <v>89.16</v>
      </c>
      <c r="K162" s="182">
        <v>92.727000000000004</v>
      </c>
      <c r="L162" s="182">
        <v>95.304000000000002</v>
      </c>
    </row>
    <row r="163" spans="1:12" x14ac:dyDescent="0.25">
      <c r="A163" s="164">
        <f t="shared" si="2"/>
        <v>163</v>
      </c>
      <c r="B163" s="170" t="s">
        <v>287</v>
      </c>
      <c r="C163" s="164"/>
      <c r="D163" s="178"/>
      <c r="E163" s="183" t="s">
        <v>196</v>
      </c>
      <c r="F163" s="183" t="s">
        <v>196</v>
      </c>
      <c r="G163" s="183" t="s">
        <v>196</v>
      </c>
      <c r="H163" s="184" t="s">
        <v>196</v>
      </c>
      <c r="I163" s="184" t="s">
        <v>196</v>
      </c>
      <c r="J163" s="184" t="s">
        <v>196</v>
      </c>
      <c r="K163" s="184" t="s">
        <v>196</v>
      </c>
      <c r="L163" s="184" t="s">
        <v>196</v>
      </c>
    </row>
    <row r="164" spans="1:12" x14ac:dyDescent="0.25">
      <c r="A164" s="164">
        <f t="shared" si="2"/>
        <v>164</v>
      </c>
      <c r="B164" s="165" t="s">
        <v>190</v>
      </c>
      <c r="C164" s="165" t="s">
        <v>174</v>
      </c>
      <c r="D164" s="178"/>
      <c r="E164" s="178">
        <v>3.6700000000000004</v>
      </c>
      <c r="F164" s="178">
        <v>-3.2589999999999999</v>
      </c>
      <c r="G164" s="178">
        <v>6.3140000000000001</v>
      </c>
      <c r="H164" s="175">
        <v>3.2170000000000001</v>
      </c>
      <c r="I164" s="175">
        <v>2.6829999999999998</v>
      </c>
      <c r="J164" s="175">
        <v>2.9990000000000001</v>
      </c>
      <c r="K164" s="175">
        <v>3.2709999999999999</v>
      </c>
      <c r="L164" s="175">
        <v>3.6779999999999999</v>
      </c>
    </row>
    <row r="165" spans="1:12" x14ac:dyDescent="0.25">
      <c r="A165" s="164">
        <f t="shared" si="2"/>
        <v>165</v>
      </c>
      <c r="B165" s="165" t="s">
        <v>193</v>
      </c>
      <c r="C165" s="165" t="s">
        <v>174</v>
      </c>
      <c r="D165" s="178"/>
      <c r="E165" s="178">
        <v>0.35899999999999999</v>
      </c>
      <c r="F165" s="178">
        <v>0.155</v>
      </c>
      <c r="G165" s="178">
        <v>0.307</v>
      </c>
      <c r="H165" s="175">
        <v>0.121</v>
      </c>
      <c r="I165" s="175">
        <v>0.114</v>
      </c>
      <c r="J165" s="175">
        <v>0.11899999999999999</v>
      </c>
      <c r="K165" s="175">
        <v>0.11799999999999999</v>
      </c>
      <c r="L165" s="175">
        <v>0.12</v>
      </c>
    </row>
    <row r="166" spans="1:12" x14ac:dyDescent="0.25">
      <c r="A166" s="164">
        <f t="shared" si="2"/>
        <v>166</v>
      </c>
      <c r="B166" s="170" t="s">
        <v>288</v>
      </c>
      <c r="C166" s="165" t="s">
        <v>171</v>
      </c>
      <c r="D166" s="178"/>
      <c r="E166" s="181">
        <v>3.879</v>
      </c>
      <c r="F166" s="181">
        <v>-0.91200000000000003</v>
      </c>
      <c r="G166" s="181">
        <v>12.064</v>
      </c>
      <c r="H166" s="182">
        <v>6.3550000000000004</v>
      </c>
      <c r="I166" s="182">
        <v>5.9459999999999997</v>
      </c>
      <c r="J166" s="182">
        <v>8.5839999999999996</v>
      </c>
      <c r="K166" s="182">
        <v>10.621</v>
      </c>
      <c r="L166" s="182">
        <v>13.448</v>
      </c>
    </row>
    <row r="167" spans="1:12" x14ac:dyDescent="0.25">
      <c r="A167" s="164">
        <f t="shared" si="2"/>
        <v>167</v>
      </c>
      <c r="B167" s="170" t="s">
        <v>289</v>
      </c>
      <c r="C167" s="164"/>
      <c r="D167" s="178"/>
      <c r="E167" s="183" t="s">
        <v>196</v>
      </c>
      <c r="F167" s="183" t="s">
        <v>196</v>
      </c>
      <c r="G167" s="183" t="s">
        <v>196</v>
      </c>
      <c r="H167" s="184" t="s">
        <v>196</v>
      </c>
      <c r="I167" s="184" t="s">
        <v>196</v>
      </c>
      <c r="J167" s="184" t="s">
        <v>196</v>
      </c>
      <c r="K167" s="184" t="s">
        <v>196</v>
      </c>
      <c r="L167" s="184" t="s">
        <v>196</v>
      </c>
    </row>
    <row r="168" spans="1:12" x14ac:dyDescent="0.25">
      <c r="A168" s="164">
        <f t="shared" si="2"/>
        <v>168</v>
      </c>
      <c r="B168" s="165" t="s">
        <v>246</v>
      </c>
      <c r="C168" s="165" t="s">
        <v>174</v>
      </c>
      <c r="D168" s="181">
        <v>8.2270000000000003</v>
      </c>
      <c r="E168" s="178">
        <v>9.032</v>
      </c>
      <c r="F168" s="178">
        <v>11.859</v>
      </c>
      <c r="G168" s="178">
        <v>15.757</v>
      </c>
      <c r="H168" s="175">
        <v>12.661</v>
      </c>
      <c r="I168" s="175">
        <v>12.581</v>
      </c>
      <c r="J168" s="175">
        <v>12.842000000000001</v>
      </c>
      <c r="K168" s="175">
        <v>13.000999999999999</v>
      </c>
      <c r="L168" s="175">
        <v>13.206</v>
      </c>
    </row>
    <row r="169" spans="1:12" x14ac:dyDescent="0.25">
      <c r="A169" s="164">
        <f t="shared" si="2"/>
        <v>169</v>
      </c>
      <c r="B169" s="165" t="s">
        <v>247</v>
      </c>
      <c r="C169" s="165" t="s">
        <v>174</v>
      </c>
      <c r="D169" s="178"/>
      <c r="E169" s="178">
        <v>12.170999999999999</v>
      </c>
      <c r="F169" s="178">
        <v>12.242000000000001</v>
      </c>
      <c r="G169" s="178">
        <v>13.86</v>
      </c>
      <c r="H169" s="175">
        <v>13.962</v>
      </c>
      <c r="I169" s="175">
        <v>14.497999999999999</v>
      </c>
      <c r="J169" s="175">
        <v>15.045</v>
      </c>
      <c r="K169" s="175">
        <v>16.186</v>
      </c>
      <c r="L169" s="175">
        <v>16.231999999999999</v>
      </c>
    </row>
    <row r="170" spans="1:12" x14ac:dyDescent="0.25">
      <c r="A170" s="164">
        <f t="shared" si="2"/>
        <v>170</v>
      </c>
      <c r="B170" s="165" t="s">
        <v>248</v>
      </c>
      <c r="C170" s="165" t="s">
        <v>174</v>
      </c>
      <c r="D170" s="178"/>
      <c r="E170" s="178">
        <v>37.090000000000003</v>
      </c>
      <c r="F170" s="178">
        <v>34.386000000000003</v>
      </c>
      <c r="G170" s="178">
        <v>32.125999999999998</v>
      </c>
      <c r="H170" s="175">
        <v>30.372</v>
      </c>
      <c r="I170" s="175">
        <v>26.289000000000001</v>
      </c>
      <c r="J170" s="175">
        <v>25.670999999999999</v>
      </c>
      <c r="K170" s="175">
        <v>23.52</v>
      </c>
      <c r="L170" s="175">
        <v>34.885999999999996</v>
      </c>
    </row>
    <row r="171" spans="1:12" x14ac:dyDescent="0.25">
      <c r="A171" s="164">
        <f t="shared" si="2"/>
        <v>171</v>
      </c>
      <c r="B171" s="165" t="s">
        <v>249</v>
      </c>
      <c r="C171" s="165" t="s">
        <v>174</v>
      </c>
      <c r="D171" s="178"/>
      <c r="E171" s="178">
        <v>15.353999999999999</v>
      </c>
      <c r="F171" s="178">
        <v>13.54</v>
      </c>
      <c r="G171" s="178">
        <v>20.09</v>
      </c>
      <c r="H171" s="175">
        <v>22.882000000000001</v>
      </c>
      <c r="I171" s="175">
        <v>24.555</v>
      </c>
      <c r="J171" s="175">
        <v>26.401</v>
      </c>
      <c r="K171" s="175">
        <v>30.097999999999999</v>
      </c>
      <c r="L171" s="175">
        <v>34.030999999999999</v>
      </c>
    </row>
    <row r="172" spans="1:12" x14ac:dyDescent="0.25">
      <c r="A172" s="164">
        <f t="shared" si="2"/>
        <v>172</v>
      </c>
      <c r="B172" s="165" t="s">
        <v>250</v>
      </c>
      <c r="C172" s="165" t="s">
        <v>174</v>
      </c>
      <c r="D172" s="178"/>
      <c r="E172" s="178">
        <v>15.108000000000001</v>
      </c>
      <c r="F172" s="178">
        <v>15.987</v>
      </c>
      <c r="G172" s="178">
        <v>13.007999999999999</v>
      </c>
      <c r="H172" s="175">
        <v>12.896000000000001</v>
      </c>
      <c r="I172" s="175">
        <v>12.765000000000001</v>
      </c>
      <c r="J172" s="175">
        <v>12.484999999999999</v>
      </c>
      <c r="K172" s="175">
        <v>12.18</v>
      </c>
      <c r="L172" s="175">
        <v>11.677</v>
      </c>
    </row>
    <row r="173" spans="1:12" x14ac:dyDescent="0.25">
      <c r="A173" s="164">
        <f t="shared" si="2"/>
        <v>173</v>
      </c>
      <c r="B173" s="165" t="s">
        <v>253</v>
      </c>
      <c r="C173" s="165" t="s">
        <v>174</v>
      </c>
      <c r="D173" s="181">
        <v>30.963000000000001</v>
      </c>
      <c r="E173" s="178">
        <v>32.289000000000001</v>
      </c>
      <c r="F173" s="178">
        <v>35.697000000000003</v>
      </c>
      <c r="G173" s="178">
        <v>39.220999999999997</v>
      </c>
      <c r="H173" s="175">
        <v>40.978000000000002</v>
      </c>
      <c r="I173" s="175">
        <v>42.923999999999999</v>
      </c>
      <c r="J173" s="175">
        <v>44.064999999999998</v>
      </c>
      <c r="K173" s="175">
        <v>44.113999999999997</v>
      </c>
      <c r="L173" s="175">
        <v>44.26</v>
      </c>
    </row>
    <row r="174" spans="1:12" x14ac:dyDescent="0.25">
      <c r="A174" s="164">
        <f t="shared" si="2"/>
        <v>174</v>
      </c>
      <c r="B174" s="165" t="s">
        <v>254</v>
      </c>
      <c r="C174" s="165" t="s">
        <v>174</v>
      </c>
      <c r="D174" s="178"/>
      <c r="E174" s="178">
        <v>34.883000000000003</v>
      </c>
      <c r="F174" s="178">
        <v>38.375999999999998</v>
      </c>
      <c r="G174" s="178">
        <v>43.000999999999998</v>
      </c>
      <c r="H174" s="175">
        <v>45.704999999999998</v>
      </c>
      <c r="I174" s="175">
        <v>48.226999999999997</v>
      </c>
      <c r="J174" s="175">
        <v>50.543999999999997</v>
      </c>
      <c r="K174" s="175">
        <v>52.404000000000003</v>
      </c>
      <c r="L174" s="175">
        <v>54.253</v>
      </c>
    </row>
    <row r="175" spans="1:12" x14ac:dyDescent="0.25">
      <c r="A175" s="164">
        <f t="shared" si="2"/>
        <v>175</v>
      </c>
      <c r="B175" s="165" t="s">
        <v>255</v>
      </c>
      <c r="C175" s="165" t="s">
        <v>174</v>
      </c>
      <c r="D175" s="178"/>
      <c r="E175" s="178">
        <v>1.2390000000000001</v>
      </c>
      <c r="F175" s="178">
        <v>1.351</v>
      </c>
      <c r="G175" s="178">
        <v>1.478</v>
      </c>
      <c r="H175" s="175">
        <v>1.7809999999999999</v>
      </c>
      <c r="I175" s="175">
        <v>1.831</v>
      </c>
      <c r="J175" s="175">
        <v>1.841</v>
      </c>
      <c r="K175" s="175">
        <v>1.784</v>
      </c>
      <c r="L175" s="175">
        <v>1.7250000000000001</v>
      </c>
    </row>
    <row r="176" spans="1:12" x14ac:dyDescent="0.25">
      <c r="A176" s="164">
        <f t="shared" si="2"/>
        <v>176</v>
      </c>
      <c r="B176" s="165" t="s">
        <v>290</v>
      </c>
      <c r="C176" s="165" t="s">
        <v>174</v>
      </c>
      <c r="D176" s="178"/>
      <c r="E176" s="178">
        <v>1.5469999999999999</v>
      </c>
      <c r="F176" s="178">
        <v>1.732</v>
      </c>
      <c r="G176" s="178">
        <v>1.835</v>
      </c>
      <c r="H176" s="175">
        <v>1.6739999999999999</v>
      </c>
      <c r="I176" s="175">
        <v>1.7110000000000001</v>
      </c>
      <c r="J176" s="175">
        <v>1.698</v>
      </c>
      <c r="K176" s="175">
        <v>1.6910000000000001</v>
      </c>
      <c r="L176" s="175">
        <v>1.6830000000000001</v>
      </c>
    </row>
    <row r="177" spans="1:12" x14ac:dyDescent="0.25">
      <c r="A177" s="164">
        <f t="shared" si="2"/>
        <v>177</v>
      </c>
      <c r="B177" s="170" t="s">
        <v>291</v>
      </c>
      <c r="C177" s="165" t="s">
        <v>171</v>
      </c>
      <c r="D177" s="178"/>
      <c r="E177" s="181">
        <v>158.71300000000002</v>
      </c>
      <c r="F177" s="181">
        <v>165.17</v>
      </c>
      <c r="G177" s="181">
        <v>180.376</v>
      </c>
      <c r="H177" s="182">
        <v>182.11500000000001</v>
      </c>
      <c r="I177" s="182">
        <v>186.1</v>
      </c>
      <c r="J177" s="182">
        <v>193.52600000000001</v>
      </c>
      <c r="K177" s="182">
        <v>200.55699999999999</v>
      </c>
      <c r="L177" s="182">
        <v>220.202</v>
      </c>
    </row>
    <row r="178" spans="1:12" x14ac:dyDescent="0.25">
      <c r="A178" s="164">
        <f t="shared" si="2"/>
        <v>178</v>
      </c>
      <c r="B178" s="170" t="s">
        <v>292</v>
      </c>
      <c r="C178" s="164"/>
      <c r="D178" s="178"/>
      <c r="E178" s="183" t="s">
        <v>196</v>
      </c>
      <c r="F178" s="183" t="s">
        <v>196</v>
      </c>
      <c r="G178" s="183" t="s">
        <v>196</v>
      </c>
      <c r="H178" s="184" t="s">
        <v>196</v>
      </c>
      <c r="I178" s="184" t="s">
        <v>196</v>
      </c>
      <c r="J178" s="184" t="s">
        <v>196</v>
      </c>
      <c r="K178" s="184" t="s">
        <v>196</v>
      </c>
      <c r="L178" s="184" t="s">
        <v>196</v>
      </c>
    </row>
    <row r="179" spans="1:12" x14ac:dyDescent="0.25">
      <c r="A179" s="164">
        <f t="shared" si="2"/>
        <v>179</v>
      </c>
      <c r="B179" s="165" t="s">
        <v>262</v>
      </c>
      <c r="C179" s="165" t="s">
        <v>171</v>
      </c>
      <c r="D179" s="178"/>
      <c r="E179" s="178">
        <v>95.549000000000007</v>
      </c>
      <c r="F179" s="178">
        <v>95.036000000000001</v>
      </c>
      <c r="G179" s="178">
        <v>93.73</v>
      </c>
      <c r="H179" s="175">
        <v>92.454999999999998</v>
      </c>
      <c r="I179" s="175">
        <v>91.498999999999995</v>
      </c>
      <c r="J179" s="175">
        <v>91.257999999999996</v>
      </c>
      <c r="K179" s="175">
        <v>87.337999999999994</v>
      </c>
      <c r="L179" s="175">
        <v>94.643000000000001</v>
      </c>
    </row>
    <row r="180" spans="1:12" x14ac:dyDescent="0.25">
      <c r="A180" s="164">
        <f t="shared" si="2"/>
        <v>180</v>
      </c>
      <c r="B180" s="165" t="s">
        <v>260</v>
      </c>
      <c r="C180" s="165" t="s">
        <v>174</v>
      </c>
      <c r="D180" s="178"/>
      <c r="E180" s="178">
        <v>8.1310000000000002</v>
      </c>
      <c r="F180" s="178">
        <v>8.1579999999999995</v>
      </c>
      <c r="G180" s="178">
        <v>10.853</v>
      </c>
      <c r="H180" s="175">
        <v>8.1389999999999993</v>
      </c>
      <c r="I180" s="175">
        <v>8.1370000000000005</v>
      </c>
      <c r="J180" s="175">
        <v>8.17</v>
      </c>
      <c r="K180" s="175">
        <v>8.93</v>
      </c>
      <c r="L180" s="175">
        <v>8.5730000000000004</v>
      </c>
    </row>
    <row r="181" spans="1:12" x14ac:dyDescent="0.25">
      <c r="A181" s="164">
        <f t="shared" si="2"/>
        <v>181</v>
      </c>
      <c r="B181" s="165" t="s">
        <v>261</v>
      </c>
      <c r="C181" s="165" t="s">
        <v>174</v>
      </c>
      <c r="D181" s="178"/>
      <c r="E181" s="178">
        <v>0.57299999999999995</v>
      </c>
      <c r="F181" s="178">
        <v>0.54600000000000004</v>
      </c>
      <c r="G181" s="178">
        <v>0.50800000000000001</v>
      </c>
      <c r="H181" s="175">
        <v>0.47899999999999998</v>
      </c>
      <c r="I181" s="175">
        <v>0.45200000000000001</v>
      </c>
      <c r="J181" s="175">
        <v>0.42499999999999999</v>
      </c>
      <c r="K181" s="175">
        <v>0.39900000000000002</v>
      </c>
      <c r="L181" s="175">
        <v>0.372</v>
      </c>
    </row>
    <row r="182" spans="1:12" x14ac:dyDescent="0.25">
      <c r="A182" s="164">
        <f t="shared" si="2"/>
        <v>182</v>
      </c>
      <c r="B182" s="165" t="s">
        <v>263</v>
      </c>
      <c r="C182" s="165" t="s">
        <v>174</v>
      </c>
      <c r="D182" s="178"/>
      <c r="E182" s="178">
        <v>2.3E-2</v>
      </c>
      <c r="F182" s="178">
        <v>0.02</v>
      </c>
      <c r="G182" s="178">
        <v>0.02</v>
      </c>
      <c r="H182" s="175">
        <v>4.9000000000000002E-2</v>
      </c>
      <c r="I182" s="175">
        <v>2E-3</v>
      </c>
      <c r="J182" s="175">
        <v>2E-3</v>
      </c>
      <c r="K182" s="175">
        <v>2E-3</v>
      </c>
      <c r="L182" s="175">
        <v>2E-3</v>
      </c>
    </row>
    <row r="183" spans="1:12" x14ac:dyDescent="0.25">
      <c r="A183" s="164">
        <f t="shared" si="2"/>
        <v>183</v>
      </c>
      <c r="B183" s="165" t="s">
        <v>264</v>
      </c>
      <c r="C183" s="165" t="s">
        <v>174</v>
      </c>
      <c r="D183" s="178"/>
      <c r="E183" s="178">
        <v>10.843999999999999</v>
      </c>
      <c r="F183" s="178">
        <v>12.443</v>
      </c>
      <c r="G183" s="178">
        <v>11.004</v>
      </c>
      <c r="H183" s="175">
        <v>10.385999999999999</v>
      </c>
      <c r="I183" s="175">
        <v>9.8230000000000004</v>
      </c>
      <c r="J183" s="175">
        <v>9.2850000000000001</v>
      </c>
      <c r="K183" s="175">
        <v>8.7750000000000004</v>
      </c>
      <c r="L183" s="175">
        <v>8.2870000000000008</v>
      </c>
    </row>
    <row r="184" spans="1:12" x14ac:dyDescent="0.25">
      <c r="A184" s="164">
        <f t="shared" si="2"/>
        <v>184</v>
      </c>
      <c r="B184" s="165" t="s">
        <v>265</v>
      </c>
      <c r="C184" s="165" t="s">
        <v>174</v>
      </c>
      <c r="D184" s="178"/>
      <c r="E184" s="178">
        <v>4.8550000000000004</v>
      </c>
      <c r="F184" s="178">
        <v>6.633</v>
      </c>
      <c r="G184" s="178">
        <v>6.5330000000000004</v>
      </c>
      <c r="H184" s="175">
        <v>6.367</v>
      </c>
      <c r="I184" s="175">
        <v>5.7880000000000003</v>
      </c>
      <c r="J184" s="175">
        <v>5.1790000000000003</v>
      </c>
      <c r="K184" s="175">
        <v>5.0490000000000004</v>
      </c>
      <c r="L184" s="175">
        <v>4.569</v>
      </c>
    </row>
    <row r="185" spans="1:12" x14ac:dyDescent="0.25">
      <c r="A185" s="164">
        <f t="shared" si="2"/>
        <v>185</v>
      </c>
      <c r="B185" s="170" t="s">
        <v>293</v>
      </c>
      <c r="C185" s="165" t="s">
        <v>171</v>
      </c>
      <c r="D185" s="178"/>
      <c r="E185" s="181">
        <v>125.31100000000001</v>
      </c>
      <c r="F185" s="181">
        <v>128.55099999999999</v>
      </c>
      <c r="G185" s="181">
        <v>128.62799999999999</v>
      </c>
      <c r="H185" s="182">
        <v>123.96</v>
      </c>
      <c r="I185" s="182">
        <v>121.968</v>
      </c>
      <c r="J185" s="182">
        <v>120.774</v>
      </c>
      <c r="K185" s="182">
        <v>117.142</v>
      </c>
      <c r="L185" s="182">
        <v>123.295</v>
      </c>
    </row>
    <row r="186" spans="1:12" x14ac:dyDescent="0.25">
      <c r="A186" s="164">
        <f t="shared" si="2"/>
        <v>186</v>
      </c>
      <c r="B186" s="170" t="s">
        <v>294</v>
      </c>
      <c r="C186" s="164"/>
      <c r="D186" s="178"/>
      <c r="E186" s="183" t="s">
        <v>196</v>
      </c>
      <c r="F186" s="183" t="s">
        <v>196</v>
      </c>
      <c r="G186" s="183" t="s">
        <v>196</v>
      </c>
      <c r="H186" s="184" t="s">
        <v>196</v>
      </c>
      <c r="I186" s="184" t="s">
        <v>196</v>
      </c>
      <c r="J186" s="184" t="s">
        <v>196</v>
      </c>
      <c r="K186" s="184" t="s">
        <v>196</v>
      </c>
      <c r="L186" s="184" t="s">
        <v>196</v>
      </c>
    </row>
    <row r="187" spans="1:12" x14ac:dyDescent="0.25">
      <c r="A187" s="164">
        <f t="shared" si="2"/>
        <v>187</v>
      </c>
      <c r="B187" s="170" t="s">
        <v>295</v>
      </c>
      <c r="C187" s="165" t="s">
        <v>174</v>
      </c>
      <c r="D187" s="178"/>
      <c r="E187" s="179">
        <v>33.402000000000015</v>
      </c>
      <c r="F187" s="179">
        <v>36.619</v>
      </c>
      <c r="G187" s="179">
        <v>51.748000000000019</v>
      </c>
      <c r="H187" s="180">
        <v>58.155000000000015</v>
      </c>
      <c r="I187" s="180">
        <v>64.131999999999991</v>
      </c>
      <c r="J187" s="180">
        <v>72.75200000000001</v>
      </c>
      <c r="K187" s="180">
        <v>83.414999999999992</v>
      </c>
      <c r="L187" s="180">
        <v>96.906999999999996</v>
      </c>
    </row>
    <row r="188" spans="1:12" x14ac:dyDescent="0.25">
      <c r="A188" s="164">
        <f t="shared" si="2"/>
        <v>188</v>
      </c>
      <c r="B188" s="170" t="s">
        <v>296</v>
      </c>
      <c r="C188" s="165" t="s">
        <v>171</v>
      </c>
      <c r="D188" s="178"/>
      <c r="E188" s="179">
        <v>-0.15000000000000568</v>
      </c>
      <c r="F188" s="179">
        <v>2.1000000000000796E-2</v>
      </c>
      <c r="G188" s="179">
        <v>3.4000000000006025E-2</v>
      </c>
      <c r="H188" s="180">
        <v>-3.0000000000001137E-3</v>
      </c>
      <c r="I188" s="180">
        <v>-3.9999999999906777E-3</v>
      </c>
      <c r="J188" s="180">
        <v>-4.0000000000048885E-3</v>
      </c>
      <c r="K188" s="180">
        <v>-3.0000000000001137E-3</v>
      </c>
      <c r="L188" s="180">
        <v>0</v>
      </c>
    </row>
    <row r="189" spans="1:12" x14ac:dyDescent="0.25">
      <c r="A189" s="164">
        <f t="shared" si="2"/>
        <v>189</v>
      </c>
      <c r="B189" s="166" t="s">
        <v>297</v>
      </c>
      <c r="C189" s="164"/>
      <c r="D189" s="178"/>
      <c r="E189" s="178"/>
      <c r="F189" s="178"/>
      <c r="G189" s="178"/>
      <c r="H189" s="175"/>
      <c r="I189" s="175"/>
      <c r="J189" s="175"/>
      <c r="K189" s="175"/>
      <c r="L189" s="175"/>
    </row>
    <row r="190" spans="1:12" x14ac:dyDescent="0.25">
      <c r="A190" s="164">
        <f t="shared" si="2"/>
        <v>190</v>
      </c>
      <c r="B190" s="165" t="s">
        <v>298</v>
      </c>
      <c r="C190" s="165" t="s">
        <v>174</v>
      </c>
      <c r="D190" s="178"/>
      <c r="E190" s="178">
        <v>4.085</v>
      </c>
      <c r="F190" s="178">
        <v>4.7050000000000001</v>
      </c>
      <c r="G190" s="178">
        <v>5.2480000000000002</v>
      </c>
      <c r="H190" s="175">
        <v>4.5510000000000002</v>
      </c>
      <c r="I190" s="175">
        <v>4.8319999999999999</v>
      </c>
      <c r="J190" s="175">
        <v>5.4850000000000003</v>
      </c>
      <c r="K190" s="175">
        <v>5.8940000000000001</v>
      </c>
      <c r="L190" s="175">
        <v>6.2930000000000001</v>
      </c>
    </row>
    <row r="191" spans="1:12" x14ac:dyDescent="0.25">
      <c r="A191" s="164">
        <f t="shared" si="2"/>
        <v>191</v>
      </c>
      <c r="B191" s="165" t="s">
        <v>299</v>
      </c>
      <c r="C191" s="165" t="s">
        <v>174</v>
      </c>
      <c r="D191" s="178"/>
      <c r="E191" s="178">
        <v>1.0999999999999999E-2</v>
      </c>
      <c r="F191" s="178">
        <v>8.9999999999999993E-3</v>
      </c>
      <c r="G191" s="178">
        <v>8.0000000000000002E-3</v>
      </c>
      <c r="H191" s="175">
        <v>5.0000000000000001E-3</v>
      </c>
      <c r="I191" s="175">
        <v>5.0000000000000001E-3</v>
      </c>
      <c r="J191" s="175">
        <v>5.0000000000000001E-3</v>
      </c>
      <c r="K191" s="175">
        <v>5.0000000000000001E-3</v>
      </c>
      <c r="L191" s="175">
        <v>5.0000000000000001E-3</v>
      </c>
    </row>
    <row r="192" spans="1:12" x14ac:dyDescent="0.25">
      <c r="A192" s="164">
        <f t="shared" si="2"/>
        <v>192</v>
      </c>
      <c r="B192" s="165" t="s">
        <v>300</v>
      </c>
      <c r="C192" s="165" t="s">
        <v>174</v>
      </c>
      <c r="D192" s="178"/>
      <c r="E192" s="178">
        <v>8.0000000000000002E-3</v>
      </c>
      <c r="F192" s="178">
        <v>1.0999999999999999E-2</v>
      </c>
      <c r="G192" s="178">
        <v>0.154</v>
      </c>
      <c r="H192" s="175">
        <v>0</v>
      </c>
      <c r="I192" s="175">
        <v>-1E-3</v>
      </c>
      <c r="J192" s="175">
        <v>-2E-3</v>
      </c>
      <c r="K192" s="175">
        <v>-2E-3</v>
      </c>
      <c r="L192" s="175">
        <v>0</v>
      </c>
    </row>
    <row r="193" spans="1:12" x14ac:dyDescent="0.25">
      <c r="A193" s="164">
        <f t="shared" si="2"/>
        <v>193</v>
      </c>
      <c r="B193" s="170" t="s">
        <v>301</v>
      </c>
      <c r="C193" s="164"/>
      <c r="D193" s="178"/>
      <c r="E193" s="183" t="s">
        <v>196</v>
      </c>
      <c r="F193" s="183" t="s">
        <v>196</v>
      </c>
      <c r="G193" s="183" t="s">
        <v>196</v>
      </c>
      <c r="H193" s="184" t="s">
        <v>196</v>
      </c>
      <c r="I193" s="184" t="s">
        <v>196</v>
      </c>
      <c r="J193" s="184" t="s">
        <v>196</v>
      </c>
      <c r="K193" s="184" t="s">
        <v>196</v>
      </c>
      <c r="L193" s="184" t="s">
        <v>196</v>
      </c>
    </row>
    <row r="194" spans="1:12" x14ac:dyDescent="0.25">
      <c r="A194" s="164">
        <f t="shared" si="2"/>
        <v>194</v>
      </c>
      <c r="B194" s="165" t="s">
        <v>302</v>
      </c>
      <c r="C194" s="165" t="s">
        <v>174</v>
      </c>
      <c r="D194" s="178"/>
      <c r="E194" s="178">
        <v>5.2460000000000004</v>
      </c>
      <c r="F194" s="178">
        <v>5.36</v>
      </c>
      <c r="G194" s="178">
        <v>5.8520000000000003</v>
      </c>
      <c r="H194" s="175">
        <v>6.0140000000000002</v>
      </c>
      <c r="I194" s="175">
        <v>6.0590000000000002</v>
      </c>
      <c r="J194" s="175">
        <v>6.569</v>
      </c>
      <c r="K194" s="175">
        <v>6.9909999999999997</v>
      </c>
      <c r="L194" s="175">
        <v>7.423</v>
      </c>
    </row>
    <row r="195" spans="1:12" x14ac:dyDescent="0.25">
      <c r="A195" s="164">
        <f t="shared" ref="A195:A258" si="3">+A194+1</f>
        <v>195</v>
      </c>
      <c r="B195" s="165" t="s">
        <v>303</v>
      </c>
      <c r="C195" s="165" t="s">
        <v>174</v>
      </c>
      <c r="D195" s="178"/>
      <c r="E195" s="178">
        <v>12.922000000000001</v>
      </c>
      <c r="F195" s="178">
        <v>13.347</v>
      </c>
      <c r="G195" s="178">
        <v>13.955</v>
      </c>
      <c r="H195" s="175">
        <v>14.566000000000001</v>
      </c>
      <c r="I195" s="175">
        <v>14.577</v>
      </c>
      <c r="J195" s="175">
        <v>14.601000000000001</v>
      </c>
      <c r="K195" s="175">
        <v>14.563000000000001</v>
      </c>
      <c r="L195" s="175">
        <v>14.544</v>
      </c>
    </row>
    <row r="196" spans="1:12" x14ac:dyDescent="0.25">
      <c r="A196" s="164">
        <f t="shared" si="3"/>
        <v>196</v>
      </c>
      <c r="B196" s="165" t="s">
        <v>304</v>
      </c>
      <c r="C196" s="165" t="s">
        <v>174</v>
      </c>
      <c r="D196" s="178"/>
      <c r="E196" s="178">
        <v>9.8529999999999998</v>
      </c>
      <c r="F196" s="178">
        <v>10.16</v>
      </c>
      <c r="G196" s="178">
        <v>10.432</v>
      </c>
      <c r="H196" s="175">
        <v>11.074</v>
      </c>
      <c r="I196" s="175">
        <v>11.253</v>
      </c>
      <c r="J196" s="175">
        <v>11.287000000000001</v>
      </c>
      <c r="K196" s="175">
        <v>11.48</v>
      </c>
      <c r="L196" s="175">
        <v>11.409000000000001</v>
      </c>
    </row>
    <row r="197" spans="1:12" x14ac:dyDescent="0.25">
      <c r="A197" s="164">
        <f t="shared" si="3"/>
        <v>197</v>
      </c>
      <c r="B197" s="165" t="s">
        <v>305</v>
      </c>
      <c r="C197" s="165" t="s">
        <v>174</v>
      </c>
      <c r="D197" s="178"/>
      <c r="E197" s="178">
        <v>0</v>
      </c>
      <c r="F197" s="178">
        <v>0</v>
      </c>
      <c r="G197" s="178">
        <v>0</v>
      </c>
      <c r="H197" s="175">
        <v>0</v>
      </c>
      <c r="I197" s="175">
        <v>0</v>
      </c>
      <c r="J197" s="175">
        <v>0</v>
      </c>
      <c r="K197" s="175">
        <v>0</v>
      </c>
      <c r="L197" s="175">
        <v>0</v>
      </c>
    </row>
    <row r="198" spans="1:12" x14ac:dyDescent="0.25">
      <c r="A198" s="164">
        <f t="shared" si="3"/>
        <v>198</v>
      </c>
      <c r="B198" s="165" t="s">
        <v>306</v>
      </c>
      <c r="C198" s="165" t="s">
        <v>174</v>
      </c>
      <c r="D198" s="178"/>
      <c r="E198" s="178">
        <v>2.5640000000000001</v>
      </c>
      <c r="F198" s="178">
        <v>2.6579999999999999</v>
      </c>
      <c r="G198" s="178">
        <v>2.625</v>
      </c>
      <c r="H198" s="175">
        <v>2.8090000000000002</v>
      </c>
      <c r="I198" s="175">
        <v>2.677</v>
      </c>
      <c r="J198" s="175">
        <v>2.5920000000000001</v>
      </c>
      <c r="K198" s="175">
        <v>3.145</v>
      </c>
      <c r="L198" s="175">
        <v>2.8239999999999998</v>
      </c>
    </row>
    <row r="199" spans="1:12" x14ac:dyDescent="0.25">
      <c r="A199" s="164">
        <f t="shared" si="3"/>
        <v>199</v>
      </c>
      <c r="B199" s="165" t="s">
        <v>307</v>
      </c>
      <c r="C199" s="165" t="s">
        <v>174</v>
      </c>
      <c r="D199" s="178"/>
      <c r="E199" s="178">
        <v>6.9189999999999996</v>
      </c>
      <c r="F199" s="178">
        <v>7.0590000000000002</v>
      </c>
      <c r="G199" s="178">
        <v>6.9619999999999997</v>
      </c>
      <c r="H199" s="175">
        <v>7.2149999999999999</v>
      </c>
      <c r="I199" s="175">
        <v>7.5709999999999997</v>
      </c>
      <c r="J199" s="175">
        <v>7.915</v>
      </c>
      <c r="K199" s="175">
        <v>8.2729999999999997</v>
      </c>
      <c r="L199" s="175">
        <v>8.5399999999999991</v>
      </c>
    </row>
    <row r="200" spans="1:12" x14ac:dyDescent="0.25">
      <c r="A200" s="164">
        <f t="shared" si="3"/>
        <v>200</v>
      </c>
      <c r="B200" s="165" t="s">
        <v>308</v>
      </c>
      <c r="C200" s="165" t="s">
        <v>174</v>
      </c>
      <c r="D200" s="178"/>
      <c r="E200" s="178">
        <v>4.8250000000000002</v>
      </c>
      <c r="F200" s="178">
        <v>5.6840000000000002</v>
      </c>
      <c r="G200" s="178">
        <v>6.4420000000000002</v>
      </c>
      <c r="H200" s="175">
        <v>6.12</v>
      </c>
      <c r="I200" s="175">
        <v>6.2370000000000001</v>
      </c>
      <c r="J200" s="175">
        <v>6.3659999999999997</v>
      </c>
      <c r="K200" s="175">
        <v>6.343</v>
      </c>
      <c r="L200" s="175">
        <v>6.3449999999999998</v>
      </c>
    </row>
    <row r="201" spans="1:12" x14ac:dyDescent="0.25">
      <c r="A201" s="164">
        <f t="shared" si="3"/>
        <v>201</v>
      </c>
      <c r="B201" s="165" t="s">
        <v>309</v>
      </c>
      <c r="C201" s="165" t="s">
        <v>174</v>
      </c>
      <c r="D201" s="178"/>
      <c r="E201" s="178">
        <v>7.01</v>
      </c>
      <c r="F201" s="178">
        <v>5.9950000000000001</v>
      </c>
      <c r="G201" s="178">
        <v>6.6210000000000004</v>
      </c>
      <c r="H201" s="175">
        <v>7.1740000000000004</v>
      </c>
      <c r="I201" s="175">
        <v>7.4180000000000001</v>
      </c>
      <c r="J201" s="175">
        <v>7.7530000000000001</v>
      </c>
      <c r="K201" s="175">
        <v>7.8780000000000001</v>
      </c>
      <c r="L201" s="175">
        <v>8.0839999999999996</v>
      </c>
    </row>
    <row r="202" spans="1:12" x14ac:dyDescent="0.25">
      <c r="A202" s="164">
        <f t="shared" si="3"/>
        <v>202</v>
      </c>
      <c r="B202" s="165" t="s">
        <v>310</v>
      </c>
      <c r="C202" s="165" t="s">
        <v>174</v>
      </c>
      <c r="D202" s="178"/>
      <c r="E202" s="178">
        <v>-2.698</v>
      </c>
      <c r="F202" s="178">
        <v>-2.7010000000000001</v>
      </c>
      <c r="G202" s="178">
        <v>-2.96</v>
      </c>
      <c r="H202" s="175">
        <v>-3.2749999999999999</v>
      </c>
      <c r="I202" s="175">
        <v>-3.2549999999999999</v>
      </c>
      <c r="J202" s="175">
        <v>-3.2370000000000001</v>
      </c>
      <c r="K202" s="175">
        <v>-3.1859999999999999</v>
      </c>
      <c r="L202" s="175">
        <v>-3.1880000000000002</v>
      </c>
    </row>
    <row r="203" spans="1:12" x14ac:dyDescent="0.25">
      <c r="A203" s="164">
        <f t="shared" si="3"/>
        <v>203</v>
      </c>
      <c r="B203" s="165" t="s">
        <v>311</v>
      </c>
      <c r="C203" s="165" t="s">
        <v>174</v>
      </c>
      <c r="D203" s="178"/>
      <c r="E203" s="178">
        <v>25.789000000000001</v>
      </c>
      <c r="F203" s="178">
        <v>27.709</v>
      </c>
      <c r="G203" s="178">
        <v>28.38</v>
      </c>
      <c r="H203" s="175">
        <v>28.31</v>
      </c>
      <c r="I203" s="175">
        <v>28.946000000000002</v>
      </c>
      <c r="J203" s="175">
        <v>29.901</v>
      </c>
      <c r="K203" s="175">
        <v>30.786999999999999</v>
      </c>
      <c r="L203" s="175">
        <v>31.628</v>
      </c>
    </row>
    <row r="204" spans="1:12" x14ac:dyDescent="0.25">
      <c r="A204" s="164">
        <f t="shared" si="3"/>
        <v>204</v>
      </c>
      <c r="B204" s="165" t="s">
        <v>312</v>
      </c>
      <c r="C204" s="165" t="s">
        <v>174</v>
      </c>
      <c r="D204" s="178"/>
      <c r="E204" s="178">
        <v>3.8119999999999998</v>
      </c>
      <c r="F204" s="178">
        <v>3.7709999999999999</v>
      </c>
      <c r="G204" s="178">
        <v>3.8250000000000002</v>
      </c>
      <c r="H204" s="175">
        <v>3.641</v>
      </c>
      <c r="I204" s="175">
        <v>3.7759999999999998</v>
      </c>
      <c r="J204" s="175">
        <v>3.891</v>
      </c>
      <c r="K204" s="175">
        <v>4.0250000000000004</v>
      </c>
      <c r="L204" s="175">
        <v>4.0430000000000001</v>
      </c>
    </row>
    <row r="205" spans="1:12" x14ac:dyDescent="0.25">
      <c r="A205" s="164">
        <f t="shared" si="3"/>
        <v>205</v>
      </c>
      <c r="B205" s="165" t="s">
        <v>313</v>
      </c>
      <c r="C205" s="165" t="s">
        <v>174</v>
      </c>
      <c r="D205" s="178"/>
      <c r="E205" s="178">
        <v>10.454000000000001</v>
      </c>
      <c r="F205" s="178">
        <v>11</v>
      </c>
      <c r="G205" s="178">
        <v>11.634</v>
      </c>
      <c r="H205" s="175">
        <v>12.567</v>
      </c>
      <c r="I205" s="175">
        <v>12.872</v>
      </c>
      <c r="J205" s="175">
        <v>13.302</v>
      </c>
      <c r="K205" s="175">
        <v>13.712999999999999</v>
      </c>
      <c r="L205" s="175">
        <v>14.099</v>
      </c>
    </row>
    <row r="206" spans="1:12" x14ac:dyDescent="0.25">
      <c r="A206" s="164">
        <f t="shared" si="3"/>
        <v>206</v>
      </c>
      <c r="B206" s="165" t="s">
        <v>314</v>
      </c>
      <c r="C206" s="165" t="s">
        <v>174</v>
      </c>
      <c r="D206" s="178"/>
      <c r="E206" s="178">
        <v>5.8000000000000003E-2</v>
      </c>
      <c r="F206" s="178">
        <v>8.5999999999999993E-2</v>
      </c>
      <c r="G206" s="178">
        <v>5.8999999999999997E-2</v>
      </c>
      <c r="H206" s="175">
        <v>6.5000000000000002E-2</v>
      </c>
      <c r="I206" s="175">
        <v>8.1000000000000003E-2</v>
      </c>
      <c r="J206" s="175">
        <v>8.1000000000000003E-2</v>
      </c>
      <c r="K206" s="175">
        <v>8.2000000000000003E-2</v>
      </c>
      <c r="L206" s="175">
        <v>8.2000000000000003E-2</v>
      </c>
    </row>
    <row r="207" spans="1:12" x14ac:dyDescent="0.25">
      <c r="A207" s="164">
        <f t="shared" si="3"/>
        <v>207</v>
      </c>
      <c r="B207" s="166" t="s">
        <v>315</v>
      </c>
      <c r="C207" s="164"/>
      <c r="D207" s="178"/>
      <c r="E207" s="178"/>
      <c r="F207" s="178"/>
      <c r="G207" s="178"/>
      <c r="H207" s="175"/>
      <c r="I207" s="175"/>
      <c r="J207" s="175"/>
      <c r="K207" s="175"/>
      <c r="L207" s="175"/>
    </row>
    <row r="208" spans="1:12" x14ac:dyDescent="0.25">
      <c r="A208" s="164">
        <f t="shared" si="3"/>
        <v>208</v>
      </c>
      <c r="B208" s="170" t="s">
        <v>316</v>
      </c>
      <c r="C208" s="164"/>
      <c r="D208" s="178"/>
      <c r="E208" s="178"/>
      <c r="F208" s="178"/>
      <c r="G208" s="178"/>
      <c r="H208" s="175"/>
      <c r="I208" s="175"/>
      <c r="J208" s="175"/>
      <c r="K208" s="175"/>
      <c r="L208" s="175"/>
    </row>
    <row r="209" spans="1:12" x14ac:dyDescent="0.25">
      <c r="A209" s="164">
        <f t="shared" si="3"/>
        <v>209</v>
      </c>
      <c r="B209" s="165" t="s">
        <v>317</v>
      </c>
      <c r="C209" s="165" t="s">
        <v>174</v>
      </c>
      <c r="D209" s="178"/>
      <c r="E209" s="178">
        <v>25.309000000000001</v>
      </c>
      <c r="F209" s="178">
        <v>27.018999999999998</v>
      </c>
      <c r="G209" s="178">
        <v>28.640999999999998</v>
      </c>
      <c r="H209" s="175">
        <v>30.085000000000001</v>
      </c>
      <c r="I209" s="175">
        <v>31.904</v>
      </c>
      <c r="J209" s="175">
        <v>33.744999999999997</v>
      </c>
      <c r="K209" s="175">
        <v>35.677</v>
      </c>
      <c r="L209" s="175">
        <v>37.686999999999998</v>
      </c>
    </row>
    <row r="210" spans="1:12" x14ac:dyDescent="0.25">
      <c r="A210" s="164">
        <f t="shared" si="3"/>
        <v>210</v>
      </c>
      <c r="B210" s="165" t="s">
        <v>318</v>
      </c>
      <c r="C210" s="165" t="s">
        <v>174</v>
      </c>
      <c r="D210" s="178"/>
      <c r="E210" s="178">
        <v>10.295999999999999</v>
      </c>
      <c r="F210" s="178">
        <v>11.054</v>
      </c>
      <c r="G210" s="178">
        <v>12.629</v>
      </c>
      <c r="H210" s="175">
        <v>12.683</v>
      </c>
      <c r="I210" s="175">
        <v>13.581</v>
      </c>
      <c r="J210" s="175">
        <v>14.53</v>
      </c>
      <c r="K210" s="175">
        <v>15.316000000000001</v>
      </c>
      <c r="L210" s="175">
        <v>16.09</v>
      </c>
    </row>
    <row r="211" spans="1:12" x14ac:dyDescent="0.25">
      <c r="A211" s="164">
        <f t="shared" si="3"/>
        <v>211</v>
      </c>
      <c r="B211" s="165" t="s">
        <v>319</v>
      </c>
      <c r="C211" s="165" t="s">
        <v>174</v>
      </c>
      <c r="D211" s="178"/>
      <c r="E211" s="178">
        <v>17.169</v>
      </c>
      <c r="F211" s="178">
        <v>18.207999999999998</v>
      </c>
      <c r="G211" s="178">
        <v>19.507999999999999</v>
      </c>
      <c r="H211" s="175">
        <v>20.292999999999999</v>
      </c>
      <c r="I211" s="175">
        <v>21.452000000000002</v>
      </c>
      <c r="J211" s="175">
        <v>22.699000000000002</v>
      </c>
      <c r="K211" s="175">
        <v>23.93</v>
      </c>
      <c r="L211" s="175">
        <v>24.972999999999999</v>
      </c>
    </row>
    <row r="212" spans="1:12" x14ac:dyDescent="0.25">
      <c r="A212" s="164">
        <f t="shared" si="3"/>
        <v>212</v>
      </c>
      <c r="B212" s="165" t="s">
        <v>320</v>
      </c>
      <c r="C212" s="165" t="s">
        <v>174</v>
      </c>
      <c r="D212" s="178"/>
      <c r="E212" s="178">
        <v>3.2029999999999998</v>
      </c>
      <c r="F212" s="178">
        <v>3.4710000000000001</v>
      </c>
      <c r="G212" s="178">
        <v>3.6</v>
      </c>
      <c r="H212" s="175">
        <v>3.6680000000000001</v>
      </c>
      <c r="I212" s="175">
        <v>3.6859999999999999</v>
      </c>
      <c r="J212" s="175">
        <v>3.7320000000000002</v>
      </c>
      <c r="K212" s="175">
        <v>3.8039999999999998</v>
      </c>
      <c r="L212" s="175">
        <v>3.8759999999999999</v>
      </c>
    </row>
    <row r="213" spans="1:12" x14ac:dyDescent="0.25">
      <c r="A213" s="164">
        <f t="shared" si="3"/>
        <v>213</v>
      </c>
      <c r="B213" s="165" t="s">
        <v>321</v>
      </c>
      <c r="C213" s="165" t="s">
        <v>174</v>
      </c>
      <c r="D213" s="178"/>
      <c r="E213" s="178">
        <v>10.078000000000001</v>
      </c>
      <c r="F213" s="178">
        <v>9.9160000000000004</v>
      </c>
      <c r="G213" s="178">
        <v>10.595000000000001</v>
      </c>
      <c r="H213" s="175">
        <v>10.739000000000001</v>
      </c>
      <c r="I213" s="175">
        <v>11.432</v>
      </c>
      <c r="J213" s="175">
        <v>12.315999999999999</v>
      </c>
      <c r="K213" s="175">
        <v>13.401999999999999</v>
      </c>
      <c r="L213" s="175">
        <v>14.354000000000001</v>
      </c>
    </row>
    <row r="214" spans="1:12" x14ac:dyDescent="0.25">
      <c r="A214" s="164">
        <f t="shared" si="3"/>
        <v>214</v>
      </c>
      <c r="B214" s="170" t="s">
        <v>322</v>
      </c>
      <c r="C214" s="164"/>
      <c r="D214" s="178"/>
      <c r="E214" s="183" t="s">
        <v>196</v>
      </c>
      <c r="F214" s="183" t="s">
        <v>196</v>
      </c>
      <c r="G214" s="183" t="s">
        <v>196</v>
      </c>
      <c r="H214" s="184" t="s">
        <v>196</v>
      </c>
      <c r="I214" s="184" t="s">
        <v>196</v>
      </c>
      <c r="J214" s="184" t="s">
        <v>196</v>
      </c>
      <c r="K214" s="184" t="s">
        <v>196</v>
      </c>
      <c r="L214" s="184" t="s">
        <v>196</v>
      </c>
    </row>
    <row r="215" spans="1:12" x14ac:dyDescent="0.25">
      <c r="A215" s="164">
        <f t="shared" si="3"/>
        <v>215</v>
      </c>
      <c r="B215" s="170" t="s">
        <v>323</v>
      </c>
      <c r="C215" s="164"/>
      <c r="D215" s="178"/>
      <c r="E215" s="188"/>
      <c r="F215" s="188"/>
      <c r="G215" s="188"/>
      <c r="H215" s="189"/>
      <c r="I215" s="189"/>
      <c r="J215" s="189"/>
      <c r="K215" s="189"/>
      <c r="L215" s="189"/>
    </row>
    <row r="216" spans="1:12" x14ac:dyDescent="0.25">
      <c r="A216" s="164">
        <f t="shared" si="3"/>
        <v>216</v>
      </c>
      <c r="B216" s="165" t="s">
        <v>324</v>
      </c>
      <c r="C216" s="165" t="s">
        <v>174</v>
      </c>
      <c r="D216" s="178"/>
      <c r="E216" s="178">
        <v>3.2759999999999998</v>
      </c>
      <c r="F216" s="178">
        <v>2.819</v>
      </c>
      <c r="G216" s="178">
        <v>2.8820000000000001</v>
      </c>
      <c r="H216" s="175">
        <v>2.718</v>
      </c>
      <c r="I216" s="175">
        <v>2.9049999999999998</v>
      </c>
      <c r="J216" s="175">
        <v>3.2909999999999999</v>
      </c>
      <c r="K216" s="175">
        <v>3.476</v>
      </c>
      <c r="L216" s="175">
        <v>3.7109999999999999</v>
      </c>
    </row>
    <row r="217" spans="1:12" x14ac:dyDescent="0.25">
      <c r="A217" s="164">
        <f t="shared" si="3"/>
        <v>217</v>
      </c>
      <c r="B217" s="165" t="s">
        <v>325</v>
      </c>
      <c r="C217" s="165" t="s">
        <v>174</v>
      </c>
      <c r="D217" s="178"/>
      <c r="E217" s="178">
        <v>1.677</v>
      </c>
      <c r="F217" s="178">
        <v>1.8240000000000001</v>
      </c>
      <c r="G217" s="178">
        <v>2.1989999999999998</v>
      </c>
      <c r="H217" s="175">
        <v>2.4329999999999998</v>
      </c>
      <c r="I217" s="175">
        <v>2.5979999999999999</v>
      </c>
      <c r="J217" s="175">
        <v>2.6619999999999999</v>
      </c>
      <c r="K217" s="175">
        <v>2.7229999999999999</v>
      </c>
      <c r="L217" s="175">
        <v>2.7709999999999999</v>
      </c>
    </row>
    <row r="218" spans="1:12" x14ac:dyDescent="0.25">
      <c r="A218" s="164">
        <f t="shared" si="3"/>
        <v>218</v>
      </c>
      <c r="B218" s="170" t="s">
        <v>326</v>
      </c>
      <c r="C218" s="164"/>
      <c r="D218" s="178"/>
      <c r="E218" s="183" t="s">
        <v>196</v>
      </c>
      <c r="F218" s="183" t="s">
        <v>196</v>
      </c>
      <c r="G218" s="183" t="s">
        <v>196</v>
      </c>
      <c r="H218" s="184" t="s">
        <v>196</v>
      </c>
      <c r="I218" s="184" t="s">
        <v>196</v>
      </c>
      <c r="J218" s="184" t="s">
        <v>196</v>
      </c>
      <c r="K218" s="184" t="s">
        <v>196</v>
      </c>
      <c r="L218" s="184" t="s">
        <v>196</v>
      </c>
    </row>
    <row r="219" spans="1:12" x14ac:dyDescent="0.25">
      <c r="A219" s="164">
        <f t="shared" si="3"/>
        <v>219</v>
      </c>
      <c r="B219" s="170" t="s">
        <v>175</v>
      </c>
      <c r="C219" s="164"/>
      <c r="D219" s="178"/>
      <c r="E219" s="178"/>
      <c r="F219" s="178"/>
      <c r="G219" s="178"/>
      <c r="H219" s="175"/>
      <c r="I219" s="175"/>
      <c r="J219" s="175"/>
      <c r="K219" s="175"/>
      <c r="L219" s="175"/>
    </row>
    <row r="220" spans="1:12" x14ac:dyDescent="0.25">
      <c r="A220" s="164">
        <f t="shared" si="3"/>
        <v>220</v>
      </c>
      <c r="B220" s="165" t="s">
        <v>327</v>
      </c>
      <c r="C220" s="165" t="s">
        <v>174</v>
      </c>
      <c r="D220" s="178"/>
      <c r="E220" s="178">
        <v>1.429</v>
      </c>
      <c r="F220" s="178">
        <v>1.484</v>
      </c>
      <c r="G220" s="178">
        <v>1.4179999999999999</v>
      </c>
      <c r="H220" s="175">
        <v>1.425</v>
      </c>
      <c r="I220" s="175">
        <v>1.427</v>
      </c>
      <c r="J220" s="175">
        <v>1.4610000000000001</v>
      </c>
      <c r="K220" s="175">
        <v>1.464</v>
      </c>
      <c r="L220" s="175">
        <v>1.4630000000000001</v>
      </c>
    </row>
    <row r="221" spans="1:12" x14ac:dyDescent="0.25">
      <c r="A221" s="164">
        <f t="shared" si="3"/>
        <v>221</v>
      </c>
      <c r="B221" s="165" t="s">
        <v>328</v>
      </c>
      <c r="C221" s="165" t="s">
        <v>174</v>
      </c>
      <c r="D221" s="178"/>
      <c r="E221" s="178">
        <v>1.0429999999999999</v>
      </c>
      <c r="F221" s="178">
        <v>0.997</v>
      </c>
      <c r="G221" s="178">
        <v>0.91800000000000004</v>
      </c>
      <c r="H221" s="175">
        <v>0.95599999999999996</v>
      </c>
      <c r="I221" s="175">
        <v>1.012</v>
      </c>
      <c r="J221" s="175">
        <v>1.079</v>
      </c>
      <c r="K221" s="175">
        <v>1.135</v>
      </c>
      <c r="L221" s="175">
        <v>1.171</v>
      </c>
    </row>
    <row r="222" spans="1:12" x14ac:dyDescent="0.25">
      <c r="A222" s="164">
        <f t="shared" si="3"/>
        <v>222</v>
      </c>
      <c r="B222" s="165" t="s">
        <v>329</v>
      </c>
      <c r="C222" s="165" t="s">
        <v>174</v>
      </c>
      <c r="D222" s="178"/>
      <c r="E222" s="178">
        <v>-1.4</v>
      </c>
      <c r="F222" s="178">
        <v>-1.2669999999999999</v>
      </c>
      <c r="G222" s="178">
        <v>-1.3759999999999999</v>
      </c>
      <c r="H222" s="175">
        <v>-1.2150000000000001</v>
      </c>
      <c r="I222" s="175">
        <v>-1.2190000000000001</v>
      </c>
      <c r="J222" s="175">
        <v>-1.276</v>
      </c>
      <c r="K222" s="175">
        <v>-1.292</v>
      </c>
      <c r="L222" s="175">
        <v>-1.2889999999999999</v>
      </c>
    </row>
    <row r="223" spans="1:12" x14ac:dyDescent="0.25">
      <c r="A223" s="164">
        <f t="shared" si="3"/>
        <v>223</v>
      </c>
      <c r="B223" s="170" t="s">
        <v>330</v>
      </c>
      <c r="C223" s="164"/>
      <c r="D223" s="178"/>
      <c r="E223" s="183" t="s">
        <v>196</v>
      </c>
      <c r="F223" s="183" t="s">
        <v>196</v>
      </c>
      <c r="G223" s="183" t="s">
        <v>196</v>
      </c>
      <c r="H223" s="184" t="s">
        <v>196</v>
      </c>
      <c r="I223" s="184" t="s">
        <v>196</v>
      </c>
      <c r="J223" s="184" t="s">
        <v>196</v>
      </c>
      <c r="K223" s="184" t="s">
        <v>196</v>
      </c>
      <c r="L223" s="184" t="s">
        <v>196</v>
      </c>
    </row>
    <row r="224" spans="1:12" x14ac:dyDescent="0.25">
      <c r="A224" s="164">
        <f t="shared" si="3"/>
        <v>224</v>
      </c>
      <c r="B224" s="170" t="s">
        <v>177</v>
      </c>
      <c r="C224" s="164"/>
      <c r="D224" s="178"/>
      <c r="E224" s="178"/>
      <c r="F224" s="178"/>
      <c r="G224" s="178"/>
      <c r="H224" s="175"/>
      <c r="I224" s="175"/>
      <c r="J224" s="175"/>
      <c r="K224" s="175"/>
      <c r="L224" s="175"/>
    </row>
    <row r="225" spans="1:12" x14ac:dyDescent="0.25">
      <c r="A225" s="164">
        <f t="shared" si="3"/>
        <v>225</v>
      </c>
      <c r="B225" s="165" t="s">
        <v>118</v>
      </c>
      <c r="C225" s="165" t="s">
        <v>174</v>
      </c>
      <c r="D225" s="178"/>
      <c r="E225" s="178">
        <v>11.590999999999999</v>
      </c>
      <c r="F225" s="178">
        <v>12.266999999999999</v>
      </c>
      <c r="G225" s="178">
        <v>13.042999999999999</v>
      </c>
      <c r="H225" s="175">
        <v>13.67</v>
      </c>
      <c r="I225" s="175">
        <v>14.436</v>
      </c>
      <c r="J225" s="175">
        <v>15.353999999999999</v>
      </c>
      <c r="K225" s="175">
        <v>16.222000000000001</v>
      </c>
      <c r="L225" s="175">
        <v>17.222999999999999</v>
      </c>
    </row>
    <row r="226" spans="1:12" x14ac:dyDescent="0.25">
      <c r="A226" s="164">
        <f t="shared" si="3"/>
        <v>226</v>
      </c>
      <c r="B226" s="165" t="s">
        <v>331</v>
      </c>
      <c r="C226" s="165" t="s">
        <v>174</v>
      </c>
      <c r="D226" s="178"/>
      <c r="E226" s="178">
        <v>1.6839999999999999</v>
      </c>
      <c r="F226" s="178">
        <v>1.671</v>
      </c>
      <c r="G226" s="178">
        <v>1.6970000000000001</v>
      </c>
      <c r="H226" s="175">
        <v>1.68</v>
      </c>
      <c r="I226" s="175">
        <v>1.663</v>
      </c>
      <c r="J226" s="175">
        <v>1.595</v>
      </c>
      <c r="K226" s="175">
        <v>1.5640000000000001</v>
      </c>
      <c r="L226" s="175">
        <v>1.58</v>
      </c>
    </row>
    <row r="227" spans="1:12" x14ac:dyDescent="0.25">
      <c r="A227" s="164">
        <f t="shared" si="3"/>
        <v>227</v>
      </c>
      <c r="B227" s="165" t="s">
        <v>332</v>
      </c>
      <c r="C227" s="165" t="s">
        <v>174</v>
      </c>
      <c r="D227" s="178"/>
      <c r="E227" s="178">
        <v>1.5149999999999999</v>
      </c>
      <c r="F227" s="178">
        <v>1.5229999999999999</v>
      </c>
      <c r="G227" s="178">
        <v>1.5329999999999999</v>
      </c>
      <c r="H227" s="175">
        <v>1.542</v>
      </c>
      <c r="I227" s="175">
        <v>1.5589999999999999</v>
      </c>
      <c r="J227" s="175">
        <v>1.575</v>
      </c>
      <c r="K227" s="175">
        <v>1.585</v>
      </c>
      <c r="L227" s="175">
        <v>1.599</v>
      </c>
    </row>
    <row r="228" spans="1:12" x14ac:dyDescent="0.25">
      <c r="A228" s="164">
        <f t="shared" si="3"/>
        <v>228</v>
      </c>
      <c r="B228" s="165" t="s">
        <v>333</v>
      </c>
      <c r="C228" s="165" t="s">
        <v>174</v>
      </c>
      <c r="D228" s="178"/>
      <c r="E228" s="178">
        <v>1.1859999999999999</v>
      </c>
      <c r="F228" s="178">
        <v>1.153</v>
      </c>
      <c r="G228" s="178">
        <v>1.159</v>
      </c>
      <c r="H228" s="175">
        <v>1.095</v>
      </c>
      <c r="I228" s="175">
        <v>1.081</v>
      </c>
      <c r="J228" s="175">
        <v>1.101</v>
      </c>
      <c r="K228" s="175">
        <v>1.113</v>
      </c>
      <c r="L228" s="175">
        <v>1.139</v>
      </c>
    </row>
    <row r="229" spans="1:12" x14ac:dyDescent="0.25">
      <c r="A229" s="164">
        <f t="shared" si="3"/>
        <v>229</v>
      </c>
      <c r="B229" s="165" t="s">
        <v>334</v>
      </c>
      <c r="C229" s="165" t="s">
        <v>174</v>
      </c>
      <c r="D229" s="178"/>
      <c r="E229" s="178">
        <v>2.403</v>
      </c>
      <c r="F229" s="178">
        <v>2.3519999999999999</v>
      </c>
      <c r="G229" s="178">
        <v>2.319</v>
      </c>
      <c r="H229" s="175">
        <v>2.3010000000000002</v>
      </c>
      <c r="I229" s="175">
        <v>3.21</v>
      </c>
      <c r="J229" s="175">
        <v>3.129</v>
      </c>
      <c r="K229" s="175">
        <v>3.0950000000000002</v>
      </c>
      <c r="L229" s="175">
        <v>3.1059999999999999</v>
      </c>
    </row>
    <row r="230" spans="1:12" x14ac:dyDescent="0.25">
      <c r="A230" s="164">
        <f t="shared" si="3"/>
        <v>230</v>
      </c>
      <c r="B230" s="165" t="s">
        <v>335</v>
      </c>
      <c r="C230" s="165" t="s">
        <v>174</v>
      </c>
      <c r="D230" s="178"/>
      <c r="E230" s="178">
        <v>3.464</v>
      </c>
      <c r="F230" s="178">
        <v>3.6280000000000001</v>
      </c>
      <c r="G230" s="178">
        <v>3.7850000000000001</v>
      </c>
      <c r="H230" s="175">
        <v>4.1340000000000003</v>
      </c>
      <c r="I230" s="175">
        <v>4.93</v>
      </c>
      <c r="J230" s="175">
        <v>5.17</v>
      </c>
      <c r="K230" s="175">
        <v>5.4619999999999997</v>
      </c>
      <c r="L230" s="175">
        <v>5.6589999999999998</v>
      </c>
    </row>
    <row r="231" spans="1:12" x14ac:dyDescent="0.25">
      <c r="A231" s="164">
        <f t="shared" si="3"/>
        <v>231</v>
      </c>
      <c r="B231" s="165" t="s">
        <v>336</v>
      </c>
      <c r="C231" s="165" t="s">
        <v>174</v>
      </c>
      <c r="D231" s="178"/>
      <c r="E231" s="178">
        <v>0.51100000000000001</v>
      </c>
      <c r="F231" s="178">
        <v>0.48599999999999999</v>
      </c>
      <c r="G231" s="178">
        <v>0.46500000000000002</v>
      </c>
      <c r="H231" s="175">
        <v>0.51300000000000001</v>
      </c>
      <c r="I231" s="175">
        <v>0.59199999999999997</v>
      </c>
      <c r="J231" s="175">
        <v>0.58299999999999996</v>
      </c>
      <c r="K231" s="175">
        <v>0.60599999999999998</v>
      </c>
      <c r="L231" s="175">
        <v>0.626</v>
      </c>
    </row>
    <row r="232" spans="1:12" x14ac:dyDescent="0.25">
      <c r="A232" s="164">
        <f t="shared" si="3"/>
        <v>232</v>
      </c>
      <c r="B232" s="165" t="s">
        <v>337</v>
      </c>
      <c r="C232" s="165" t="s">
        <v>174</v>
      </c>
      <c r="D232" s="178"/>
      <c r="E232" s="178">
        <v>0.85599999999999998</v>
      </c>
      <c r="F232" s="178">
        <v>0.69799999999999995</v>
      </c>
      <c r="G232" s="178">
        <v>0.74299999999999999</v>
      </c>
      <c r="H232" s="175">
        <v>0.81399999999999995</v>
      </c>
      <c r="I232" s="175">
        <v>0.84699999999999998</v>
      </c>
      <c r="J232" s="175">
        <v>0.89500000000000002</v>
      </c>
      <c r="K232" s="175">
        <v>0.94</v>
      </c>
      <c r="L232" s="175">
        <v>0.98</v>
      </c>
    </row>
    <row r="233" spans="1:12" x14ac:dyDescent="0.25">
      <c r="A233" s="164">
        <f t="shared" si="3"/>
        <v>233</v>
      </c>
      <c r="B233" s="165" t="s">
        <v>338</v>
      </c>
      <c r="C233" s="165" t="s">
        <v>174</v>
      </c>
      <c r="D233" s="178"/>
      <c r="E233" s="178">
        <v>0.51300000000000001</v>
      </c>
      <c r="F233" s="178">
        <v>0.53400000000000003</v>
      </c>
      <c r="G233" s="178">
        <v>0.52</v>
      </c>
      <c r="H233" s="175">
        <v>0.64700000000000002</v>
      </c>
      <c r="I233" s="175">
        <v>0.58299999999999996</v>
      </c>
      <c r="J233" s="175">
        <v>0.58599999999999997</v>
      </c>
      <c r="K233" s="175">
        <v>0.58599999999999997</v>
      </c>
      <c r="L233" s="175">
        <v>0.58599999999999997</v>
      </c>
    </row>
    <row r="234" spans="1:12" x14ac:dyDescent="0.25">
      <c r="A234" s="164">
        <f t="shared" si="3"/>
        <v>234</v>
      </c>
      <c r="B234" s="170" t="s">
        <v>339</v>
      </c>
      <c r="C234" s="164"/>
      <c r="D234" s="178"/>
      <c r="E234" s="183" t="s">
        <v>196</v>
      </c>
      <c r="F234" s="183" t="s">
        <v>196</v>
      </c>
      <c r="G234" s="183" t="s">
        <v>196</v>
      </c>
      <c r="H234" s="184" t="s">
        <v>196</v>
      </c>
      <c r="I234" s="184" t="s">
        <v>196</v>
      </c>
      <c r="J234" s="184" t="s">
        <v>196</v>
      </c>
      <c r="K234" s="184" t="s">
        <v>196</v>
      </c>
      <c r="L234" s="184" t="s">
        <v>196</v>
      </c>
    </row>
    <row r="235" spans="1:12" x14ac:dyDescent="0.25">
      <c r="A235" s="164">
        <f t="shared" si="3"/>
        <v>235</v>
      </c>
      <c r="B235" s="170" t="s">
        <v>178</v>
      </c>
      <c r="C235" s="164"/>
      <c r="D235" s="178"/>
      <c r="E235" s="178"/>
      <c r="F235" s="178"/>
      <c r="G235" s="178"/>
      <c r="H235" s="175"/>
      <c r="I235" s="175"/>
      <c r="J235" s="175"/>
      <c r="K235" s="175"/>
      <c r="L235" s="175"/>
    </row>
    <row r="236" spans="1:12" x14ac:dyDescent="0.25">
      <c r="A236" s="164">
        <f t="shared" si="3"/>
        <v>236</v>
      </c>
      <c r="B236" s="165" t="s">
        <v>327</v>
      </c>
      <c r="C236" s="165" t="s">
        <v>174</v>
      </c>
      <c r="D236" s="178"/>
      <c r="E236" s="178">
        <v>11.66</v>
      </c>
      <c r="F236" s="178">
        <v>12.205</v>
      </c>
      <c r="G236" s="178">
        <v>12.878</v>
      </c>
      <c r="H236" s="175">
        <v>13.496</v>
      </c>
      <c r="I236" s="175">
        <v>13.603999999999999</v>
      </c>
      <c r="J236" s="175">
        <v>13.646000000000001</v>
      </c>
      <c r="K236" s="175">
        <v>13.864000000000001</v>
      </c>
      <c r="L236" s="175">
        <v>13.795</v>
      </c>
    </row>
    <row r="237" spans="1:12" x14ac:dyDescent="0.25">
      <c r="A237" s="164">
        <f t="shared" si="3"/>
        <v>237</v>
      </c>
      <c r="B237" s="165" t="s">
        <v>328</v>
      </c>
      <c r="C237" s="165" t="s">
        <v>174</v>
      </c>
      <c r="D237" s="178"/>
      <c r="E237" s="178">
        <v>2.9350000000000001</v>
      </c>
      <c r="F237" s="178">
        <v>2.9209999999999998</v>
      </c>
      <c r="G237" s="178">
        <v>2.8690000000000002</v>
      </c>
      <c r="H237" s="175">
        <v>2.8860000000000001</v>
      </c>
      <c r="I237" s="175">
        <v>2.9769999999999999</v>
      </c>
      <c r="J237" s="175">
        <v>3.13</v>
      </c>
      <c r="K237" s="175">
        <v>3.2679999999999998</v>
      </c>
      <c r="L237" s="175">
        <v>3.387</v>
      </c>
    </row>
    <row r="238" spans="1:12" x14ac:dyDescent="0.25">
      <c r="A238" s="164">
        <f t="shared" si="3"/>
        <v>238</v>
      </c>
      <c r="B238" s="165" t="s">
        <v>329</v>
      </c>
      <c r="C238" s="165" t="s">
        <v>174</v>
      </c>
      <c r="D238" s="178"/>
      <c r="E238" s="178">
        <v>-2.3E-2</v>
      </c>
      <c r="F238" s="178">
        <v>-2.9000000000000001E-2</v>
      </c>
      <c r="G238" s="178">
        <v>-3.7999999999999999E-2</v>
      </c>
      <c r="H238" s="175">
        <v>-2.9000000000000001E-2</v>
      </c>
      <c r="I238" s="175">
        <v>-3.5000000000000003E-2</v>
      </c>
      <c r="J238" s="175">
        <v>-3.4000000000000002E-2</v>
      </c>
      <c r="K238" s="175">
        <v>-3.4000000000000002E-2</v>
      </c>
      <c r="L238" s="175">
        <v>-3.5999999999999997E-2</v>
      </c>
    </row>
    <row r="239" spans="1:12" x14ac:dyDescent="0.25">
      <c r="A239" s="164">
        <f t="shared" si="3"/>
        <v>239</v>
      </c>
      <c r="B239" s="170" t="s">
        <v>340</v>
      </c>
      <c r="C239" s="164"/>
      <c r="D239" s="178"/>
      <c r="E239" s="183" t="s">
        <v>196</v>
      </c>
      <c r="F239" s="183" t="s">
        <v>196</v>
      </c>
      <c r="G239" s="183" t="s">
        <v>196</v>
      </c>
      <c r="H239" s="184" t="s">
        <v>196</v>
      </c>
      <c r="I239" s="184" t="s">
        <v>196</v>
      </c>
      <c r="J239" s="184" t="s">
        <v>196</v>
      </c>
      <c r="K239" s="184" t="s">
        <v>196</v>
      </c>
      <c r="L239" s="184" t="s">
        <v>196</v>
      </c>
    </row>
    <row r="240" spans="1:12" x14ac:dyDescent="0.25">
      <c r="A240" s="164">
        <f t="shared" si="3"/>
        <v>240</v>
      </c>
      <c r="B240" s="170" t="s">
        <v>341</v>
      </c>
      <c r="C240" s="164"/>
      <c r="D240" s="178"/>
      <c r="E240" s="178"/>
      <c r="F240" s="178"/>
      <c r="G240" s="178"/>
      <c r="H240" s="175"/>
      <c r="I240" s="175"/>
      <c r="J240" s="175"/>
      <c r="K240" s="175"/>
      <c r="L240" s="175"/>
    </row>
    <row r="241" spans="1:12" x14ac:dyDescent="0.25">
      <c r="A241" s="164">
        <f t="shared" si="3"/>
        <v>241</v>
      </c>
      <c r="B241" s="165" t="s">
        <v>342</v>
      </c>
      <c r="C241" s="165" t="s">
        <v>174</v>
      </c>
      <c r="D241" s="178"/>
      <c r="E241" s="178">
        <v>1.4410000000000001</v>
      </c>
      <c r="F241" s="178">
        <v>1.5289999999999999</v>
      </c>
      <c r="G241" s="178">
        <v>1.605</v>
      </c>
      <c r="H241" s="175">
        <v>1.766</v>
      </c>
      <c r="I241" s="175">
        <v>1.825</v>
      </c>
      <c r="J241" s="175">
        <v>1.8879999999999999</v>
      </c>
      <c r="K241" s="175">
        <v>1.877</v>
      </c>
      <c r="L241" s="175">
        <v>1.89</v>
      </c>
    </row>
    <row r="242" spans="1:12" x14ac:dyDescent="0.25">
      <c r="A242" s="164">
        <f t="shared" si="3"/>
        <v>242</v>
      </c>
      <c r="B242" s="165" t="s">
        <v>327</v>
      </c>
      <c r="C242" s="165" t="s">
        <v>174</v>
      </c>
      <c r="D242" s="178"/>
      <c r="E242" s="178">
        <v>1.7509999999999999</v>
      </c>
      <c r="F242" s="178">
        <v>1.6859999999999999</v>
      </c>
      <c r="G242" s="178">
        <v>1.665</v>
      </c>
      <c r="H242" s="175">
        <v>1.7350000000000001</v>
      </c>
      <c r="I242" s="175">
        <v>1.8009999999999999</v>
      </c>
      <c r="J242" s="175">
        <v>1.833</v>
      </c>
      <c r="K242" s="175">
        <v>1.867</v>
      </c>
      <c r="L242" s="175">
        <v>1.877</v>
      </c>
    </row>
    <row r="243" spans="1:12" x14ac:dyDescent="0.25">
      <c r="A243" s="164">
        <f t="shared" si="3"/>
        <v>243</v>
      </c>
      <c r="B243" s="165" t="s">
        <v>328</v>
      </c>
      <c r="C243" s="165" t="s">
        <v>174</v>
      </c>
      <c r="D243" s="178"/>
      <c r="E243" s="178">
        <v>1.65</v>
      </c>
      <c r="F243" s="178">
        <v>1.66</v>
      </c>
      <c r="G243" s="178">
        <v>1.9059999999999999</v>
      </c>
      <c r="H243" s="175">
        <v>1.784</v>
      </c>
      <c r="I243" s="175">
        <v>1.837</v>
      </c>
      <c r="J243" s="175">
        <v>1.873</v>
      </c>
      <c r="K243" s="175">
        <v>1.871</v>
      </c>
      <c r="L243" s="175">
        <v>1.865</v>
      </c>
    </row>
    <row r="244" spans="1:12" x14ac:dyDescent="0.25">
      <c r="A244" s="164">
        <f t="shared" si="3"/>
        <v>244</v>
      </c>
      <c r="B244" s="165" t="s">
        <v>329</v>
      </c>
      <c r="C244" s="165" t="s">
        <v>174</v>
      </c>
      <c r="D244" s="178"/>
      <c r="E244" s="178">
        <v>0</v>
      </c>
      <c r="F244" s="178">
        <v>0</v>
      </c>
      <c r="G244" s="178">
        <v>0</v>
      </c>
      <c r="H244" s="175">
        <v>0</v>
      </c>
      <c r="I244" s="175">
        <v>0</v>
      </c>
      <c r="J244" s="175">
        <v>0</v>
      </c>
      <c r="K244" s="175">
        <v>0</v>
      </c>
      <c r="L244" s="175">
        <v>0</v>
      </c>
    </row>
    <row r="245" spans="1:12" x14ac:dyDescent="0.25">
      <c r="A245" s="164">
        <f t="shared" si="3"/>
        <v>245</v>
      </c>
      <c r="B245" s="170" t="s">
        <v>343</v>
      </c>
      <c r="C245" s="164"/>
      <c r="D245" s="178"/>
      <c r="E245" s="183" t="s">
        <v>196</v>
      </c>
      <c r="F245" s="183" t="s">
        <v>196</v>
      </c>
      <c r="G245" s="183" t="s">
        <v>196</v>
      </c>
      <c r="H245" s="184" t="s">
        <v>196</v>
      </c>
      <c r="I245" s="184" t="s">
        <v>196</v>
      </c>
      <c r="J245" s="184" t="s">
        <v>196</v>
      </c>
      <c r="K245" s="184" t="s">
        <v>196</v>
      </c>
      <c r="L245" s="184" t="s">
        <v>196</v>
      </c>
    </row>
    <row r="246" spans="1:12" x14ac:dyDescent="0.25">
      <c r="A246" s="164">
        <f t="shared" si="3"/>
        <v>246</v>
      </c>
      <c r="B246" s="170" t="s">
        <v>344</v>
      </c>
      <c r="C246" s="164"/>
      <c r="D246" s="178"/>
      <c r="E246" s="178"/>
      <c r="F246" s="178"/>
      <c r="G246" s="178"/>
      <c r="H246" s="175"/>
      <c r="I246" s="175"/>
      <c r="J246" s="175"/>
      <c r="K246" s="175"/>
      <c r="L246" s="175"/>
    </row>
    <row r="247" spans="1:12" x14ac:dyDescent="0.25">
      <c r="A247" s="164">
        <f t="shared" si="3"/>
        <v>247</v>
      </c>
      <c r="B247" s="165" t="s">
        <v>342</v>
      </c>
      <c r="C247" s="165" t="s">
        <v>174</v>
      </c>
      <c r="D247" s="178"/>
      <c r="E247" s="178">
        <v>36.857999999999997</v>
      </c>
      <c r="F247" s="178">
        <v>37.832000000000001</v>
      </c>
      <c r="G247" s="178">
        <v>39.037999999999997</v>
      </c>
      <c r="H247" s="175">
        <v>43.878</v>
      </c>
      <c r="I247" s="175">
        <v>43.067999999999998</v>
      </c>
      <c r="J247" s="175">
        <v>42.868000000000002</v>
      </c>
      <c r="K247" s="175">
        <v>43.372999999999998</v>
      </c>
      <c r="L247" s="175">
        <v>43.06</v>
      </c>
    </row>
    <row r="248" spans="1:12" x14ac:dyDescent="0.25">
      <c r="A248" s="164">
        <f t="shared" si="3"/>
        <v>248</v>
      </c>
      <c r="B248" s="165" t="s">
        <v>327</v>
      </c>
      <c r="C248" s="165" t="s">
        <v>174</v>
      </c>
      <c r="D248" s="178"/>
      <c r="E248" s="178">
        <v>17.914000000000001</v>
      </c>
      <c r="F248" s="178">
        <v>18.613</v>
      </c>
      <c r="G248" s="178">
        <v>19.515000000000001</v>
      </c>
      <c r="H248" s="175">
        <v>20.800999999999998</v>
      </c>
      <c r="I248" s="175">
        <v>20.565999999999999</v>
      </c>
      <c r="J248" s="175">
        <v>20.451000000000001</v>
      </c>
      <c r="K248" s="175">
        <v>20.896999999999998</v>
      </c>
      <c r="L248" s="175">
        <v>20.58</v>
      </c>
    </row>
    <row r="249" spans="1:12" x14ac:dyDescent="0.25">
      <c r="A249" s="164">
        <f t="shared" si="3"/>
        <v>249</v>
      </c>
      <c r="B249" s="165" t="s">
        <v>328</v>
      </c>
      <c r="C249" s="165" t="s">
        <v>174</v>
      </c>
      <c r="D249" s="178"/>
      <c r="E249" s="178">
        <v>9.3330000000000002</v>
      </c>
      <c r="F249" s="178">
        <v>8.4640000000000004</v>
      </c>
      <c r="G249" s="178">
        <v>8.7989999999999995</v>
      </c>
      <c r="H249" s="175">
        <v>9.7140000000000004</v>
      </c>
      <c r="I249" s="175">
        <v>10.17</v>
      </c>
      <c r="J249" s="175">
        <v>10.66</v>
      </c>
      <c r="K249" s="175">
        <v>11.007</v>
      </c>
      <c r="L249" s="175">
        <v>11.367000000000001</v>
      </c>
    </row>
    <row r="250" spans="1:12" x14ac:dyDescent="0.25">
      <c r="A250" s="164">
        <f t="shared" si="3"/>
        <v>250</v>
      </c>
      <c r="B250" s="165" t="s">
        <v>329</v>
      </c>
      <c r="C250" s="165" t="s">
        <v>174</v>
      </c>
      <c r="D250" s="178"/>
      <c r="E250" s="178">
        <v>-28.195</v>
      </c>
      <c r="F250" s="178">
        <v>-29.04</v>
      </c>
      <c r="G250" s="178">
        <v>-30.158999999999999</v>
      </c>
      <c r="H250" s="175">
        <v>-32.000999999999998</v>
      </c>
      <c r="I250" s="175">
        <v>-32.027999999999999</v>
      </c>
      <c r="J250" s="175">
        <v>-32.011000000000003</v>
      </c>
      <c r="K250" s="175">
        <v>-32.700000000000003</v>
      </c>
      <c r="L250" s="175">
        <v>-32.281999999999996</v>
      </c>
    </row>
    <row r="251" spans="1:12" x14ac:dyDescent="0.25">
      <c r="A251" s="164">
        <f t="shared" si="3"/>
        <v>251</v>
      </c>
      <c r="B251" s="170" t="s">
        <v>345</v>
      </c>
      <c r="C251" s="164"/>
      <c r="D251" s="178"/>
      <c r="E251" s="183" t="s">
        <v>196</v>
      </c>
      <c r="F251" s="183" t="s">
        <v>196</v>
      </c>
      <c r="G251" s="183" t="s">
        <v>196</v>
      </c>
      <c r="H251" s="184" t="s">
        <v>196</v>
      </c>
      <c r="I251" s="184" t="s">
        <v>196</v>
      </c>
      <c r="J251" s="184" t="s">
        <v>196</v>
      </c>
      <c r="K251" s="184" t="s">
        <v>196</v>
      </c>
      <c r="L251" s="184" t="s">
        <v>196</v>
      </c>
    </row>
    <row r="252" spans="1:12" x14ac:dyDescent="0.25">
      <c r="A252" s="164">
        <f t="shared" si="3"/>
        <v>252</v>
      </c>
      <c r="B252" s="170" t="s">
        <v>346</v>
      </c>
      <c r="C252" s="164"/>
      <c r="D252" s="178"/>
      <c r="E252" s="178"/>
      <c r="F252" s="178"/>
      <c r="G252" s="178"/>
      <c r="H252" s="175"/>
      <c r="I252" s="175"/>
      <c r="J252" s="175"/>
      <c r="K252" s="175"/>
      <c r="L252" s="175"/>
    </row>
    <row r="253" spans="1:12" x14ac:dyDescent="0.25">
      <c r="A253" s="164">
        <f t="shared" si="3"/>
        <v>253</v>
      </c>
      <c r="B253" s="165" t="s">
        <v>327</v>
      </c>
      <c r="C253" s="165" t="s">
        <v>174</v>
      </c>
      <c r="D253" s="178"/>
      <c r="E253" s="178">
        <v>0.221</v>
      </c>
      <c r="F253" s="178">
        <v>0.215</v>
      </c>
      <c r="G253" s="178">
        <v>0.158</v>
      </c>
      <c r="H253" s="175">
        <v>5.8000000000000003E-2</v>
      </c>
      <c r="I253" s="175">
        <v>5.8000000000000003E-2</v>
      </c>
      <c r="J253" s="175">
        <v>6.6000000000000003E-2</v>
      </c>
      <c r="K253" s="175">
        <v>7.1999999999999995E-2</v>
      </c>
      <c r="L253" s="175">
        <v>7.8E-2</v>
      </c>
    </row>
    <row r="254" spans="1:12" x14ac:dyDescent="0.25">
      <c r="A254" s="164">
        <f t="shared" si="3"/>
        <v>254</v>
      </c>
      <c r="B254" s="165" t="s">
        <v>328</v>
      </c>
      <c r="C254" s="165" t="s">
        <v>174</v>
      </c>
      <c r="D254" s="178"/>
      <c r="E254" s="178">
        <v>1.28</v>
      </c>
      <c r="F254" s="178">
        <v>1.1539999999999999</v>
      </c>
      <c r="G254" s="178">
        <v>1.06</v>
      </c>
      <c r="H254" s="175">
        <v>1.095</v>
      </c>
      <c r="I254" s="175">
        <v>1.0609999999999999</v>
      </c>
      <c r="J254" s="175">
        <v>1.0980000000000001</v>
      </c>
      <c r="K254" s="175">
        <v>1.079</v>
      </c>
      <c r="L254" s="175">
        <v>1.087</v>
      </c>
    </row>
    <row r="255" spans="1:12" x14ac:dyDescent="0.25">
      <c r="A255" s="164">
        <f t="shared" si="3"/>
        <v>255</v>
      </c>
      <c r="B255" s="165" t="s">
        <v>329</v>
      </c>
      <c r="C255" s="165" t="s">
        <v>174</v>
      </c>
      <c r="D255" s="178"/>
      <c r="E255" s="178">
        <v>-0.72099999999999997</v>
      </c>
      <c r="F255" s="178">
        <v>-0.623</v>
      </c>
      <c r="G255" s="178">
        <v>-0.59</v>
      </c>
      <c r="H255" s="175">
        <v>-0.52300000000000002</v>
      </c>
      <c r="I255" s="175">
        <v>-0.52100000000000002</v>
      </c>
      <c r="J255" s="175">
        <v>-0.53900000000000003</v>
      </c>
      <c r="K255" s="175">
        <v>-0.54800000000000004</v>
      </c>
      <c r="L255" s="175">
        <v>-0.55400000000000005</v>
      </c>
    </row>
    <row r="256" spans="1:12" x14ac:dyDescent="0.25">
      <c r="A256" s="164">
        <f t="shared" si="3"/>
        <v>256</v>
      </c>
      <c r="B256" s="170" t="s">
        <v>347</v>
      </c>
      <c r="C256" s="164"/>
      <c r="D256" s="178"/>
      <c r="E256" s="183" t="s">
        <v>196</v>
      </c>
      <c r="F256" s="183" t="s">
        <v>196</v>
      </c>
      <c r="G256" s="183" t="s">
        <v>196</v>
      </c>
      <c r="H256" s="184" t="s">
        <v>196</v>
      </c>
      <c r="I256" s="184" t="s">
        <v>196</v>
      </c>
      <c r="J256" s="184" t="s">
        <v>196</v>
      </c>
      <c r="K256" s="184" t="s">
        <v>196</v>
      </c>
      <c r="L256" s="184" t="s">
        <v>196</v>
      </c>
    </row>
    <row r="257" spans="1:12" x14ac:dyDescent="0.25">
      <c r="A257" s="164">
        <f t="shared" si="3"/>
        <v>257</v>
      </c>
      <c r="B257" s="170" t="s">
        <v>182</v>
      </c>
      <c r="C257" s="164"/>
      <c r="D257" s="178"/>
      <c r="E257" s="188"/>
      <c r="F257" s="188"/>
      <c r="G257" s="188"/>
      <c r="H257" s="189"/>
      <c r="I257" s="189"/>
      <c r="J257" s="189"/>
      <c r="K257" s="189"/>
      <c r="L257" s="189"/>
    </row>
    <row r="258" spans="1:12" x14ac:dyDescent="0.25">
      <c r="A258" s="164">
        <f t="shared" si="3"/>
        <v>258</v>
      </c>
      <c r="B258" s="165" t="s">
        <v>348</v>
      </c>
      <c r="C258" s="165" t="s">
        <v>174</v>
      </c>
      <c r="D258" s="178"/>
      <c r="E258" s="178">
        <v>4.1040000000000001</v>
      </c>
      <c r="F258" s="178">
        <v>4.1660000000000004</v>
      </c>
      <c r="G258" s="178">
        <v>4.5869999999999997</v>
      </c>
      <c r="H258" s="175">
        <v>4.7270000000000003</v>
      </c>
      <c r="I258" s="175">
        <v>4.7779999999999996</v>
      </c>
      <c r="J258" s="175">
        <v>5.2960000000000003</v>
      </c>
      <c r="K258" s="175">
        <v>5.6920000000000002</v>
      </c>
      <c r="L258" s="175">
        <v>6.0910000000000002</v>
      </c>
    </row>
    <row r="259" spans="1:12" x14ac:dyDescent="0.25">
      <c r="A259" s="164">
        <f t="shared" ref="A259:A322" si="4">+A258+1</f>
        <v>259</v>
      </c>
      <c r="B259" s="165" t="s">
        <v>349</v>
      </c>
      <c r="C259" s="165" t="s">
        <v>174</v>
      </c>
      <c r="D259" s="178"/>
      <c r="E259" s="178">
        <v>-0.35699999999999998</v>
      </c>
      <c r="F259" s="178">
        <v>0.33700000000000002</v>
      </c>
      <c r="G259" s="178">
        <v>0.33200000000000002</v>
      </c>
      <c r="H259" s="175">
        <v>-0.115</v>
      </c>
      <c r="I259" s="175">
        <v>7.6999999999999999E-2</v>
      </c>
      <c r="J259" s="175">
        <v>0.19900000000000001</v>
      </c>
      <c r="K259" s="175">
        <v>0.2</v>
      </c>
      <c r="L259" s="175">
        <v>0.2</v>
      </c>
    </row>
    <row r="260" spans="1:12" x14ac:dyDescent="0.25">
      <c r="A260" s="164">
        <f t="shared" si="4"/>
        <v>260</v>
      </c>
      <c r="B260" s="165" t="s">
        <v>350</v>
      </c>
      <c r="C260" s="165" t="s">
        <v>174</v>
      </c>
      <c r="D260" s="178"/>
      <c r="E260" s="178">
        <v>0.36299999999999999</v>
      </c>
      <c r="F260" s="178">
        <v>0.222</v>
      </c>
      <c r="G260" s="178">
        <v>0.499</v>
      </c>
      <c r="H260" s="175">
        <v>-2.1000000000000001E-2</v>
      </c>
      <c r="I260" s="175">
        <v>-1.7999999999999999E-2</v>
      </c>
      <c r="J260" s="175">
        <v>-4.0000000000000001E-3</v>
      </c>
      <c r="K260" s="175">
        <v>7.0000000000000001E-3</v>
      </c>
      <c r="L260" s="175">
        <v>8.0000000000000002E-3</v>
      </c>
    </row>
    <row r="261" spans="1:12" x14ac:dyDescent="0.25">
      <c r="A261" s="164">
        <f t="shared" si="4"/>
        <v>261</v>
      </c>
      <c r="B261" s="170" t="s">
        <v>351</v>
      </c>
      <c r="C261" s="164"/>
      <c r="D261" s="178"/>
      <c r="E261" s="183" t="s">
        <v>196</v>
      </c>
      <c r="F261" s="183" t="s">
        <v>196</v>
      </c>
      <c r="G261" s="183" t="s">
        <v>196</v>
      </c>
      <c r="H261" s="184" t="s">
        <v>196</v>
      </c>
      <c r="I261" s="184" t="s">
        <v>196</v>
      </c>
      <c r="J261" s="184" t="s">
        <v>196</v>
      </c>
      <c r="K261" s="184" t="s">
        <v>196</v>
      </c>
      <c r="L261" s="184" t="s">
        <v>196</v>
      </c>
    </row>
    <row r="262" spans="1:12" x14ac:dyDescent="0.25">
      <c r="A262" s="164">
        <f t="shared" si="4"/>
        <v>262</v>
      </c>
      <c r="B262" s="170" t="s">
        <v>183</v>
      </c>
      <c r="C262" s="164"/>
      <c r="D262" s="178"/>
      <c r="E262" s="178"/>
      <c r="F262" s="178"/>
      <c r="G262" s="178"/>
      <c r="H262" s="175"/>
      <c r="I262" s="175"/>
      <c r="J262" s="175"/>
      <c r="K262" s="175"/>
      <c r="L262" s="175"/>
    </row>
    <row r="263" spans="1:12" x14ac:dyDescent="0.25">
      <c r="A263" s="164">
        <f t="shared" si="4"/>
        <v>263</v>
      </c>
      <c r="B263" s="165" t="s">
        <v>352</v>
      </c>
      <c r="C263" s="165" t="s">
        <v>174</v>
      </c>
      <c r="D263" s="178"/>
      <c r="E263" s="178">
        <v>0</v>
      </c>
      <c r="F263" s="178">
        <v>0</v>
      </c>
      <c r="G263" s="178">
        <v>0</v>
      </c>
      <c r="H263" s="175">
        <v>0.17899999999999999</v>
      </c>
      <c r="I263" s="175">
        <v>0.25</v>
      </c>
      <c r="J263" s="175">
        <v>0.216</v>
      </c>
      <c r="K263" s="175">
        <v>0.26</v>
      </c>
      <c r="L263" s="175">
        <v>0.248</v>
      </c>
    </row>
    <row r="264" spans="1:12" x14ac:dyDescent="0.25">
      <c r="A264" s="164">
        <f t="shared" si="4"/>
        <v>264</v>
      </c>
      <c r="B264" s="165" t="s">
        <v>353</v>
      </c>
      <c r="C264" s="165" t="s">
        <v>174</v>
      </c>
      <c r="D264" s="178"/>
      <c r="E264" s="178">
        <v>0</v>
      </c>
      <c r="F264" s="178">
        <v>0</v>
      </c>
      <c r="G264" s="178">
        <v>0</v>
      </c>
      <c r="H264" s="175">
        <v>0</v>
      </c>
      <c r="I264" s="175">
        <v>2.4710000000000001</v>
      </c>
      <c r="J264" s="175">
        <v>2.4049999999999998</v>
      </c>
      <c r="K264" s="175">
        <v>2.3290000000000002</v>
      </c>
      <c r="L264" s="175">
        <v>2.2109999999999999</v>
      </c>
    </row>
    <row r="265" spans="1:12" x14ac:dyDescent="0.25">
      <c r="A265" s="164">
        <f t="shared" si="4"/>
        <v>265</v>
      </c>
      <c r="B265" s="165" t="s">
        <v>354</v>
      </c>
      <c r="C265" s="165" t="s">
        <v>174</v>
      </c>
      <c r="D265" s="178"/>
      <c r="E265" s="178">
        <v>0</v>
      </c>
      <c r="F265" s="178">
        <v>0</v>
      </c>
      <c r="G265" s="178">
        <v>0</v>
      </c>
      <c r="H265" s="175">
        <v>0</v>
      </c>
      <c r="I265" s="175">
        <v>0</v>
      </c>
      <c r="J265" s="175">
        <v>1.875</v>
      </c>
      <c r="K265" s="175">
        <v>1.875</v>
      </c>
      <c r="L265" s="175">
        <v>1.875</v>
      </c>
    </row>
    <row r="266" spans="1:12" x14ac:dyDescent="0.25">
      <c r="A266" s="164">
        <f t="shared" si="4"/>
        <v>266</v>
      </c>
      <c r="B266" s="165" t="s">
        <v>355</v>
      </c>
      <c r="C266" s="165" t="s">
        <v>174</v>
      </c>
      <c r="D266" s="178"/>
      <c r="E266" s="178">
        <v>0</v>
      </c>
      <c r="F266" s="178">
        <v>0</v>
      </c>
      <c r="G266" s="178">
        <v>0</v>
      </c>
      <c r="H266" s="175">
        <v>0</v>
      </c>
      <c r="I266" s="175">
        <v>0</v>
      </c>
      <c r="J266" s="175">
        <v>0</v>
      </c>
      <c r="K266" s="175">
        <v>1.875</v>
      </c>
      <c r="L266" s="175">
        <v>1.875</v>
      </c>
    </row>
    <row r="267" spans="1:12" x14ac:dyDescent="0.25">
      <c r="A267" s="164">
        <f t="shared" si="4"/>
        <v>267</v>
      </c>
      <c r="B267" s="165" t="s">
        <v>356</v>
      </c>
      <c r="C267" s="165" t="s">
        <v>174</v>
      </c>
      <c r="D267" s="178"/>
      <c r="E267" s="178">
        <v>0</v>
      </c>
      <c r="F267" s="178">
        <v>0</v>
      </c>
      <c r="G267" s="178">
        <v>0</v>
      </c>
      <c r="H267" s="175">
        <v>0</v>
      </c>
      <c r="I267" s="175">
        <v>0</v>
      </c>
      <c r="J267" s="175">
        <v>0</v>
      </c>
      <c r="K267" s="175">
        <v>0</v>
      </c>
      <c r="L267" s="175">
        <v>1.875</v>
      </c>
    </row>
    <row r="268" spans="1:12" x14ac:dyDescent="0.25">
      <c r="A268" s="164">
        <f t="shared" si="4"/>
        <v>268</v>
      </c>
      <c r="B268" s="170" t="s">
        <v>357</v>
      </c>
      <c r="C268" s="164"/>
      <c r="D268" s="178"/>
      <c r="E268" s="183" t="s">
        <v>196</v>
      </c>
      <c r="F268" s="183" t="s">
        <v>196</v>
      </c>
      <c r="G268" s="183" t="s">
        <v>196</v>
      </c>
      <c r="H268" s="184" t="s">
        <v>196</v>
      </c>
      <c r="I268" s="184" t="s">
        <v>196</v>
      </c>
      <c r="J268" s="184" t="s">
        <v>196</v>
      </c>
      <c r="K268" s="184" t="s">
        <v>196</v>
      </c>
      <c r="L268" s="184" t="s">
        <v>196</v>
      </c>
    </row>
    <row r="269" spans="1:12" x14ac:dyDescent="0.25">
      <c r="A269" s="164">
        <f t="shared" si="4"/>
        <v>269</v>
      </c>
      <c r="B269" s="170" t="s">
        <v>358</v>
      </c>
      <c r="C269" s="164"/>
      <c r="D269" s="178"/>
      <c r="E269" s="178"/>
      <c r="F269" s="178"/>
      <c r="G269" s="178"/>
      <c r="H269" s="175"/>
      <c r="I269" s="175"/>
      <c r="J269" s="175"/>
      <c r="K269" s="175"/>
      <c r="L269" s="175"/>
    </row>
    <row r="270" spans="1:12" x14ac:dyDescent="0.25">
      <c r="A270" s="164">
        <f t="shared" si="4"/>
        <v>270</v>
      </c>
      <c r="B270" s="165" t="s">
        <v>352</v>
      </c>
      <c r="C270" s="165" t="s">
        <v>174</v>
      </c>
      <c r="D270" s="178"/>
      <c r="E270" s="178">
        <v>0</v>
      </c>
      <c r="F270" s="178">
        <v>0</v>
      </c>
      <c r="G270" s="178">
        <v>0</v>
      </c>
      <c r="H270" s="175">
        <v>0.20399999999999999</v>
      </c>
      <c r="I270" s="175">
        <v>0.76500000000000001</v>
      </c>
      <c r="J270" s="175">
        <v>0.46500000000000002</v>
      </c>
      <c r="K270" s="175">
        <v>0.245</v>
      </c>
      <c r="L270" s="175">
        <v>0.02</v>
      </c>
    </row>
    <row r="271" spans="1:12" x14ac:dyDescent="0.25">
      <c r="A271" s="164">
        <f t="shared" si="4"/>
        <v>271</v>
      </c>
      <c r="B271" s="165" t="s">
        <v>359</v>
      </c>
      <c r="C271" s="165" t="s">
        <v>174</v>
      </c>
      <c r="D271" s="178"/>
      <c r="E271" s="178">
        <v>0</v>
      </c>
      <c r="F271" s="178">
        <v>0</v>
      </c>
      <c r="G271" s="178">
        <v>0</v>
      </c>
      <c r="H271" s="175">
        <v>0.1</v>
      </c>
      <c r="I271" s="175">
        <v>1.1000000000000001</v>
      </c>
      <c r="J271" s="175">
        <v>0.8</v>
      </c>
      <c r="K271" s="175">
        <v>0.5</v>
      </c>
      <c r="L271" s="175">
        <v>0.2</v>
      </c>
    </row>
    <row r="272" spans="1:12" x14ac:dyDescent="0.25">
      <c r="A272" s="164">
        <f t="shared" si="4"/>
        <v>272</v>
      </c>
      <c r="B272" s="165" t="s">
        <v>360</v>
      </c>
      <c r="C272" s="165" t="s">
        <v>174</v>
      </c>
      <c r="D272" s="178"/>
      <c r="E272" s="178">
        <v>0</v>
      </c>
      <c r="F272" s="178">
        <v>0</v>
      </c>
      <c r="G272" s="178">
        <v>0</v>
      </c>
      <c r="H272" s="175">
        <v>0</v>
      </c>
      <c r="I272" s="175">
        <v>0.1</v>
      </c>
      <c r="J272" s="175">
        <v>1.1000000000000001</v>
      </c>
      <c r="K272" s="175">
        <v>0.8</v>
      </c>
      <c r="L272" s="175">
        <v>0.5</v>
      </c>
    </row>
    <row r="273" spans="1:12" x14ac:dyDescent="0.25">
      <c r="A273" s="164">
        <f t="shared" si="4"/>
        <v>273</v>
      </c>
      <c r="B273" s="165" t="s">
        <v>361</v>
      </c>
      <c r="C273" s="165" t="s">
        <v>174</v>
      </c>
      <c r="D273" s="178"/>
      <c r="E273" s="178">
        <v>0</v>
      </c>
      <c r="F273" s="178">
        <v>0</v>
      </c>
      <c r="G273" s="178">
        <v>0</v>
      </c>
      <c r="H273" s="175">
        <v>0</v>
      </c>
      <c r="I273" s="175">
        <v>0</v>
      </c>
      <c r="J273" s="175">
        <v>0.1</v>
      </c>
      <c r="K273" s="175">
        <v>1.1000000000000001</v>
      </c>
      <c r="L273" s="175">
        <v>0.8</v>
      </c>
    </row>
    <row r="274" spans="1:12" x14ac:dyDescent="0.25">
      <c r="A274" s="164">
        <f t="shared" si="4"/>
        <v>274</v>
      </c>
      <c r="B274" s="165" t="s">
        <v>362</v>
      </c>
      <c r="C274" s="165" t="s">
        <v>174</v>
      </c>
      <c r="D274" s="178"/>
      <c r="E274" s="178">
        <v>0</v>
      </c>
      <c r="F274" s="178">
        <v>0</v>
      </c>
      <c r="G274" s="178">
        <v>0</v>
      </c>
      <c r="H274" s="175">
        <v>0</v>
      </c>
      <c r="I274" s="175">
        <v>0</v>
      </c>
      <c r="J274" s="175">
        <v>0</v>
      </c>
      <c r="K274" s="175">
        <v>0.1</v>
      </c>
      <c r="L274" s="175">
        <v>1.1000000000000001</v>
      </c>
    </row>
    <row r="275" spans="1:12" x14ac:dyDescent="0.25">
      <c r="A275" s="164">
        <f t="shared" si="4"/>
        <v>275</v>
      </c>
      <c r="B275" s="165" t="s">
        <v>363</v>
      </c>
      <c r="C275" s="165" t="s">
        <v>174</v>
      </c>
      <c r="D275" s="178"/>
      <c r="E275" s="178">
        <v>0</v>
      </c>
      <c r="F275" s="178">
        <v>0</v>
      </c>
      <c r="G275" s="178">
        <v>0</v>
      </c>
      <c r="H275" s="175">
        <v>0</v>
      </c>
      <c r="I275" s="175">
        <v>0</v>
      </c>
      <c r="J275" s="175">
        <v>0</v>
      </c>
      <c r="K275" s="175">
        <v>0</v>
      </c>
      <c r="L275" s="175">
        <v>0.1</v>
      </c>
    </row>
    <row r="276" spans="1:12" x14ac:dyDescent="0.25">
      <c r="A276" s="164">
        <f t="shared" si="4"/>
        <v>276</v>
      </c>
      <c r="B276" s="170" t="s">
        <v>364</v>
      </c>
      <c r="C276" s="164"/>
      <c r="D276" s="178"/>
      <c r="E276" s="183" t="s">
        <v>196</v>
      </c>
      <c r="F276" s="183" t="s">
        <v>196</v>
      </c>
      <c r="G276" s="183" t="s">
        <v>196</v>
      </c>
      <c r="H276" s="184" t="s">
        <v>196</v>
      </c>
      <c r="I276" s="184" t="s">
        <v>196</v>
      </c>
      <c r="J276" s="184" t="s">
        <v>196</v>
      </c>
      <c r="K276" s="184" t="s">
        <v>196</v>
      </c>
      <c r="L276" s="184" t="s">
        <v>196</v>
      </c>
    </row>
    <row r="277" spans="1:12" x14ac:dyDescent="0.25">
      <c r="A277" s="164">
        <f t="shared" si="4"/>
        <v>277</v>
      </c>
      <c r="B277" s="165" t="s">
        <v>365</v>
      </c>
      <c r="C277" s="165" t="s">
        <v>174</v>
      </c>
      <c r="D277" s="178"/>
      <c r="E277" s="178">
        <v>0</v>
      </c>
      <c r="F277" s="178">
        <v>0</v>
      </c>
      <c r="G277" s="178">
        <v>0</v>
      </c>
      <c r="H277" s="175">
        <v>2.7</v>
      </c>
      <c r="I277" s="175">
        <v>2.7</v>
      </c>
      <c r="J277" s="175">
        <v>2.7</v>
      </c>
      <c r="K277" s="175">
        <v>2.7</v>
      </c>
      <c r="L277" s="175">
        <v>2.7</v>
      </c>
    </row>
    <row r="278" spans="1:12" x14ac:dyDescent="0.25">
      <c r="A278" s="164">
        <f t="shared" si="4"/>
        <v>278</v>
      </c>
      <c r="B278" s="170" t="s">
        <v>366</v>
      </c>
      <c r="C278" s="164"/>
      <c r="D278" s="178"/>
      <c r="E278" s="178"/>
      <c r="F278" s="178"/>
      <c r="G278" s="178"/>
      <c r="H278" s="175"/>
      <c r="I278" s="175"/>
      <c r="J278" s="175"/>
      <c r="K278" s="175"/>
      <c r="L278" s="175"/>
    </row>
    <row r="279" spans="1:12" x14ac:dyDescent="0.25">
      <c r="A279" s="164">
        <f t="shared" si="4"/>
        <v>279</v>
      </c>
      <c r="B279" s="165" t="s">
        <v>342</v>
      </c>
      <c r="C279" s="165" t="s">
        <v>171</v>
      </c>
      <c r="D279" s="178"/>
      <c r="E279" s="178">
        <v>4.3890000000000002</v>
      </c>
      <c r="F279" s="178">
        <v>0.29899999999999999</v>
      </c>
      <c r="G279" s="178">
        <v>5.2450000000000001</v>
      </c>
      <c r="H279" s="175">
        <v>3.407</v>
      </c>
      <c r="I279" s="175">
        <v>2.6859999999999999</v>
      </c>
      <c r="J279" s="175">
        <v>2.9969999999999999</v>
      </c>
      <c r="K279" s="175">
        <v>3.2690000000000001</v>
      </c>
      <c r="L279" s="175">
        <v>3.6760000000000002</v>
      </c>
    </row>
    <row r="280" spans="1:12" x14ac:dyDescent="0.25">
      <c r="A280" s="164">
        <f t="shared" si="4"/>
        <v>280</v>
      </c>
      <c r="B280" s="165" t="s">
        <v>327</v>
      </c>
      <c r="C280" s="165" t="s">
        <v>174</v>
      </c>
      <c r="D280" s="178"/>
      <c r="E280" s="178">
        <v>2.7519999999999998</v>
      </c>
      <c r="F280" s="178">
        <v>1.7929999999999999</v>
      </c>
      <c r="G280" s="178">
        <v>0.93200000000000005</v>
      </c>
      <c r="H280" s="175">
        <v>0.441</v>
      </c>
      <c r="I280" s="175">
        <v>0.23100000000000001</v>
      </c>
      <c r="J280" s="175">
        <v>0.311</v>
      </c>
      <c r="K280" s="175">
        <v>0.36699999999999999</v>
      </c>
      <c r="L280" s="175">
        <v>0.41699999999999998</v>
      </c>
    </row>
    <row r="281" spans="1:12" x14ac:dyDescent="0.25">
      <c r="A281" s="164">
        <f t="shared" si="4"/>
        <v>281</v>
      </c>
      <c r="B281" s="165" t="s">
        <v>367</v>
      </c>
      <c r="C281" s="165" t="s">
        <v>174</v>
      </c>
      <c r="D281" s="178"/>
      <c r="E281" s="178">
        <v>-6.3E-2</v>
      </c>
      <c r="F281" s="178">
        <v>-5.0999999999999997E-2</v>
      </c>
      <c r="G281" s="178">
        <v>0.2</v>
      </c>
      <c r="H281" s="175">
        <v>0.13500000000000001</v>
      </c>
      <c r="I281" s="175">
        <v>7.4999999999999997E-2</v>
      </c>
      <c r="J281" s="175">
        <v>4.2999999999999997E-2</v>
      </c>
      <c r="K281" s="175">
        <v>4.2999999999999997E-2</v>
      </c>
      <c r="L281" s="175">
        <v>3.5000000000000003E-2</v>
      </c>
    </row>
    <row r="282" spans="1:12" x14ac:dyDescent="0.25">
      <c r="A282" s="164">
        <f t="shared" si="4"/>
        <v>282</v>
      </c>
      <c r="B282" s="165" t="s">
        <v>329</v>
      </c>
      <c r="C282" s="165" t="s">
        <v>171</v>
      </c>
      <c r="D282" s="178"/>
      <c r="E282" s="178">
        <v>-0.88200000000000001</v>
      </c>
      <c r="F282" s="178">
        <v>-0.92400000000000004</v>
      </c>
      <c r="G282" s="178">
        <v>-4.7E-2</v>
      </c>
      <c r="H282" s="175">
        <v>-4.4999999999999998E-2</v>
      </c>
      <c r="I282" s="175">
        <v>-0.115</v>
      </c>
      <c r="J282" s="175">
        <v>-0.13100000000000001</v>
      </c>
      <c r="K282" s="175">
        <v>-0.13900000000000001</v>
      </c>
      <c r="L282" s="175">
        <v>-0.14499999999999999</v>
      </c>
    </row>
    <row r="283" spans="1:12" x14ac:dyDescent="0.25">
      <c r="A283" s="164">
        <f t="shared" si="4"/>
        <v>283</v>
      </c>
      <c r="B283" s="170" t="s">
        <v>368</v>
      </c>
      <c r="C283" s="164"/>
      <c r="D283" s="178"/>
      <c r="E283" s="183" t="s">
        <v>196</v>
      </c>
      <c r="F283" s="183" t="s">
        <v>196</v>
      </c>
      <c r="G283" s="183" t="s">
        <v>196</v>
      </c>
      <c r="H283" s="184" t="s">
        <v>196</v>
      </c>
      <c r="I283" s="184" t="s">
        <v>196</v>
      </c>
      <c r="J283" s="184" t="s">
        <v>196</v>
      </c>
      <c r="K283" s="184" t="s">
        <v>196</v>
      </c>
      <c r="L283" s="184" t="s">
        <v>196</v>
      </c>
    </row>
    <row r="284" spans="1:12" x14ac:dyDescent="0.25">
      <c r="A284" s="164">
        <f t="shared" si="4"/>
        <v>284</v>
      </c>
      <c r="B284" s="170" t="s">
        <v>369</v>
      </c>
      <c r="C284" s="164"/>
      <c r="D284" s="178"/>
      <c r="E284" s="188"/>
      <c r="F284" s="188"/>
      <c r="G284" s="188"/>
      <c r="H284" s="189"/>
      <c r="I284" s="189"/>
      <c r="J284" s="189"/>
      <c r="K284" s="189"/>
      <c r="L284" s="189"/>
    </row>
    <row r="285" spans="1:12" x14ac:dyDescent="0.25">
      <c r="A285" s="164">
        <f t="shared" si="4"/>
        <v>285</v>
      </c>
      <c r="B285" s="165" t="s">
        <v>342</v>
      </c>
      <c r="C285" s="165" t="s">
        <v>171</v>
      </c>
      <c r="D285" s="178"/>
      <c r="E285" s="178">
        <v>-0.71899999999999997</v>
      </c>
      <c r="F285" s="178">
        <v>-3.5579999999999998</v>
      </c>
      <c r="G285" s="178">
        <v>1.069</v>
      </c>
      <c r="H285" s="175">
        <v>-0.19</v>
      </c>
      <c r="I285" s="175">
        <v>-3.0000000000000001E-3</v>
      </c>
      <c r="J285" s="175">
        <v>2E-3</v>
      </c>
      <c r="K285" s="175">
        <v>2E-3</v>
      </c>
      <c r="L285" s="175">
        <v>2E-3</v>
      </c>
    </row>
    <row r="286" spans="1:12" x14ac:dyDescent="0.25">
      <c r="A286" s="164">
        <f t="shared" si="4"/>
        <v>286</v>
      </c>
      <c r="B286" s="165" t="s">
        <v>327</v>
      </c>
      <c r="C286" s="165" t="s">
        <v>174</v>
      </c>
      <c r="D286" s="178"/>
      <c r="E286" s="178">
        <v>-1.335</v>
      </c>
      <c r="F286" s="178">
        <v>-5.093</v>
      </c>
      <c r="G286" s="178">
        <v>0.35899999999999999</v>
      </c>
      <c r="H286" s="175">
        <v>-0.54500000000000004</v>
      </c>
      <c r="I286" s="175">
        <v>-9.5000000000000001E-2</v>
      </c>
      <c r="J286" s="175">
        <v>-0.03</v>
      </c>
      <c r="K286" s="175">
        <v>-3.2000000000000001E-2</v>
      </c>
      <c r="L286" s="175">
        <v>-3.2000000000000001E-2</v>
      </c>
    </row>
    <row r="287" spans="1:12" x14ac:dyDescent="0.25">
      <c r="A287" s="164">
        <f t="shared" si="4"/>
        <v>287</v>
      </c>
      <c r="B287" s="165" t="s">
        <v>367</v>
      </c>
      <c r="C287" s="165" t="s">
        <v>174</v>
      </c>
      <c r="D287" s="178"/>
      <c r="E287" s="178">
        <v>0.40500000000000003</v>
      </c>
      <c r="F287" s="178">
        <v>5.7000000000000002E-2</v>
      </c>
      <c r="G287" s="178">
        <v>-0.107</v>
      </c>
      <c r="H287" s="175">
        <v>0</v>
      </c>
      <c r="I287" s="175">
        <v>0</v>
      </c>
      <c r="J287" s="175">
        <v>0</v>
      </c>
      <c r="K287" s="175">
        <v>0</v>
      </c>
      <c r="L287" s="175">
        <v>0</v>
      </c>
    </row>
    <row r="288" spans="1:12" x14ac:dyDescent="0.25">
      <c r="A288" s="164">
        <f t="shared" si="4"/>
        <v>288</v>
      </c>
      <c r="B288" s="165" t="s">
        <v>329</v>
      </c>
      <c r="C288" s="165" t="s">
        <v>171</v>
      </c>
      <c r="D288" s="178"/>
      <c r="E288" s="178">
        <v>0</v>
      </c>
      <c r="F288" s="178">
        <v>-4.2000000000000003E-2</v>
      </c>
      <c r="G288" s="178">
        <v>0</v>
      </c>
      <c r="H288" s="175">
        <v>1E-3</v>
      </c>
      <c r="I288" s="175">
        <v>0</v>
      </c>
      <c r="J288" s="175">
        <v>1E-3</v>
      </c>
      <c r="K288" s="175">
        <v>-1.4E-2</v>
      </c>
      <c r="L288" s="175">
        <v>0</v>
      </c>
    </row>
    <row r="289" spans="1:12" x14ac:dyDescent="0.25">
      <c r="A289" s="164">
        <f t="shared" si="4"/>
        <v>289</v>
      </c>
      <c r="B289" s="170" t="s">
        <v>370</v>
      </c>
      <c r="C289" s="164"/>
      <c r="D289" s="178"/>
      <c r="E289" s="183" t="s">
        <v>196</v>
      </c>
      <c r="F289" s="183" t="s">
        <v>196</v>
      </c>
      <c r="G289" s="183" t="s">
        <v>196</v>
      </c>
      <c r="H289" s="184" t="s">
        <v>196</v>
      </c>
      <c r="I289" s="184" t="s">
        <v>196</v>
      </c>
      <c r="J289" s="184" t="s">
        <v>196</v>
      </c>
      <c r="K289" s="184" t="s">
        <v>196</v>
      </c>
      <c r="L289" s="184" t="s">
        <v>196</v>
      </c>
    </row>
    <row r="290" spans="1:12" x14ac:dyDescent="0.25">
      <c r="A290" s="164">
        <f t="shared" si="4"/>
        <v>290</v>
      </c>
      <c r="B290" s="170" t="s">
        <v>371</v>
      </c>
      <c r="C290" s="164"/>
      <c r="D290" s="178"/>
      <c r="E290" s="188"/>
      <c r="F290" s="188"/>
      <c r="G290" s="188"/>
      <c r="H290" s="189"/>
      <c r="I290" s="189"/>
      <c r="J290" s="189"/>
      <c r="K290" s="189"/>
      <c r="L290" s="189"/>
    </row>
    <row r="291" spans="1:12" x14ac:dyDescent="0.25">
      <c r="A291" s="164">
        <f t="shared" si="4"/>
        <v>291</v>
      </c>
      <c r="B291" s="165" t="s">
        <v>342</v>
      </c>
      <c r="C291" s="165" t="s">
        <v>171</v>
      </c>
      <c r="D291" s="178"/>
      <c r="E291" s="178">
        <v>3.879</v>
      </c>
      <c r="F291" s="178">
        <v>-0.91200000000000003</v>
      </c>
      <c r="G291" s="178">
        <v>12.064</v>
      </c>
      <c r="H291" s="175">
        <v>6.3550000000000004</v>
      </c>
      <c r="I291" s="175">
        <v>5.9459999999999997</v>
      </c>
      <c r="J291" s="175">
        <v>8.5839999999999996</v>
      </c>
      <c r="K291" s="175">
        <v>10.621</v>
      </c>
      <c r="L291" s="175">
        <v>13.448</v>
      </c>
    </row>
    <row r="292" spans="1:12" x14ac:dyDescent="0.25">
      <c r="A292" s="164">
        <f t="shared" si="4"/>
        <v>292</v>
      </c>
      <c r="B292" s="165" t="s">
        <v>327</v>
      </c>
      <c r="C292" s="165" t="s">
        <v>171</v>
      </c>
      <c r="D292" s="178"/>
      <c r="E292" s="178">
        <v>2.786</v>
      </c>
      <c r="F292" s="178">
        <v>-3.48</v>
      </c>
      <c r="G292" s="178">
        <v>0.41899999999999998</v>
      </c>
      <c r="H292" s="175">
        <v>-0.38400000000000001</v>
      </c>
      <c r="I292" s="175">
        <v>0.114</v>
      </c>
      <c r="J292" s="175">
        <v>5.1999999999999998E-2</v>
      </c>
      <c r="K292" s="175">
        <v>-0.14799999999999999</v>
      </c>
      <c r="L292" s="175">
        <v>-0.34</v>
      </c>
    </row>
    <row r="293" spans="1:12" x14ac:dyDescent="0.25">
      <c r="A293" s="164">
        <f t="shared" si="4"/>
        <v>293</v>
      </c>
      <c r="B293" s="165" t="s">
        <v>367</v>
      </c>
      <c r="C293" s="165" t="s">
        <v>171</v>
      </c>
      <c r="D293" s="178"/>
      <c r="E293" s="178">
        <v>0.68899999999999995</v>
      </c>
      <c r="F293" s="178">
        <v>0.72</v>
      </c>
      <c r="G293" s="178">
        <v>0.60499999999999998</v>
      </c>
      <c r="H293" s="175">
        <v>0.67900000000000005</v>
      </c>
      <c r="I293" s="175">
        <v>0.71799999999999997</v>
      </c>
      <c r="J293" s="175">
        <v>0.78400000000000003</v>
      </c>
      <c r="K293" s="175">
        <v>0.84299999999999997</v>
      </c>
      <c r="L293" s="175">
        <v>0.873</v>
      </c>
    </row>
    <row r="294" spans="1:12" x14ac:dyDescent="0.25">
      <c r="A294" s="164">
        <f t="shared" si="4"/>
        <v>294</v>
      </c>
      <c r="B294" s="165" t="s">
        <v>329</v>
      </c>
      <c r="C294" s="165" t="s">
        <v>171</v>
      </c>
      <c r="D294" s="178"/>
      <c r="E294" s="178">
        <v>-1.583</v>
      </c>
      <c r="F294" s="178">
        <v>-1.6970000000000001</v>
      </c>
      <c r="G294" s="178">
        <v>-0.77100000000000002</v>
      </c>
      <c r="H294" s="175">
        <v>-0.73399999999999999</v>
      </c>
      <c r="I294" s="175">
        <v>-0.93899999999999995</v>
      </c>
      <c r="J294" s="175">
        <v>-0.96899999999999997</v>
      </c>
      <c r="K294" s="175">
        <v>-1.0189999999999999</v>
      </c>
      <c r="L294" s="175">
        <v>-0.93200000000000005</v>
      </c>
    </row>
    <row r="295" spans="1:12" x14ac:dyDescent="0.25">
      <c r="A295" s="164">
        <f t="shared" si="4"/>
        <v>295</v>
      </c>
      <c r="B295" s="170" t="s">
        <v>372</v>
      </c>
      <c r="C295" s="164"/>
      <c r="D295" s="178"/>
      <c r="E295" s="183" t="s">
        <v>196</v>
      </c>
      <c r="F295" s="183" t="s">
        <v>196</v>
      </c>
      <c r="G295" s="183" t="s">
        <v>196</v>
      </c>
      <c r="H295" s="184" t="s">
        <v>196</v>
      </c>
      <c r="I295" s="184" t="s">
        <v>196</v>
      </c>
      <c r="J295" s="184" t="s">
        <v>196</v>
      </c>
      <c r="K295" s="184" t="s">
        <v>196</v>
      </c>
      <c r="L295" s="184" t="s">
        <v>196</v>
      </c>
    </row>
    <row r="296" spans="1:12" x14ac:dyDescent="0.25">
      <c r="A296" s="164">
        <f t="shared" si="4"/>
        <v>296</v>
      </c>
      <c r="B296" s="170" t="s">
        <v>373</v>
      </c>
      <c r="C296" s="164"/>
      <c r="D296" s="178"/>
      <c r="E296" s="178"/>
      <c r="F296" s="178"/>
      <c r="G296" s="178"/>
      <c r="H296" s="175"/>
      <c r="I296" s="175"/>
      <c r="J296" s="175"/>
      <c r="K296" s="175"/>
      <c r="L296" s="175"/>
    </row>
    <row r="297" spans="1:12" x14ac:dyDescent="0.25">
      <c r="A297" s="164">
        <f t="shared" si="4"/>
        <v>297</v>
      </c>
      <c r="B297" s="165" t="s">
        <v>374</v>
      </c>
      <c r="C297" s="165" t="s">
        <v>174</v>
      </c>
      <c r="D297" s="178"/>
      <c r="E297" s="178">
        <v>8.9570000000000007</v>
      </c>
      <c r="F297" s="178">
        <v>9.1609999999999996</v>
      </c>
      <c r="G297" s="178">
        <v>10.313000000000001</v>
      </c>
      <c r="H297" s="175">
        <v>11.045</v>
      </c>
      <c r="I297" s="175">
        <v>11.47</v>
      </c>
      <c r="J297" s="175">
        <v>11.9</v>
      </c>
      <c r="K297" s="175">
        <v>12.348000000000001</v>
      </c>
      <c r="L297" s="175">
        <v>12.837999999999999</v>
      </c>
    </row>
    <row r="298" spans="1:12" x14ac:dyDescent="0.25">
      <c r="A298" s="164">
        <f t="shared" si="4"/>
        <v>298</v>
      </c>
      <c r="B298" s="165" t="s">
        <v>375</v>
      </c>
      <c r="C298" s="165" t="s">
        <v>171</v>
      </c>
      <c r="D298" s="178"/>
      <c r="E298" s="178">
        <v>8.6449999999999996</v>
      </c>
      <c r="F298" s="178">
        <v>7.6280000000000001</v>
      </c>
      <c r="G298" s="178">
        <v>8.2159999999999993</v>
      </c>
      <c r="H298" s="175">
        <v>7.8550000000000004</v>
      </c>
      <c r="I298" s="175">
        <v>8.4060000000000006</v>
      </c>
      <c r="J298" s="175">
        <v>8.6880000000000006</v>
      </c>
      <c r="K298" s="175">
        <v>9.64</v>
      </c>
      <c r="L298" s="175">
        <v>9.3819999999999997</v>
      </c>
    </row>
    <row r="299" spans="1:12" x14ac:dyDescent="0.25">
      <c r="A299" s="164">
        <f t="shared" si="4"/>
        <v>299</v>
      </c>
      <c r="B299" s="170" t="s">
        <v>376</v>
      </c>
      <c r="C299" s="164"/>
      <c r="D299" s="178"/>
      <c r="E299" s="183" t="s">
        <v>196</v>
      </c>
      <c r="F299" s="183" t="s">
        <v>196</v>
      </c>
      <c r="G299" s="183" t="s">
        <v>196</v>
      </c>
      <c r="H299" s="184" t="s">
        <v>196</v>
      </c>
      <c r="I299" s="184" t="s">
        <v>196</v>
      </c>
      <c r="J299" s="184" t="s">
        <v>196</v>
      </c>
      <c r="K299" s="184" t="s">
        <v>196</v>
      </c>
      <c r="L299" s="184" t="s">
        <v>196</v>
      </c>
    </row>
    <row r="300" spans="1:12" x14ac:dyDescent="0.25">
      <c r="A300" s="164">
        <f t="shared" si="4"/>
        <v>300</v>
      </c>
      <c r="B300" s="170" t="s">
        <v>377</v>
      </c>
      <c r="C300" s="164"/>
      <c r="D300" s="178"/>
      <c r="E300" s="188"/>
      <c r="F300" s="188"/>
      <c r="G300" s="188"/>
      <c r="H300" s="189"/>
      <c r="I300" s="189"/>
      <c r="J300" s="189"/>
      <c r="K300" s="189"/>
      <c r="L300" s="189"/>
    </row>
    <row r="301" spans="1:12" x14ac:dyDescent="0.25">
      <c r="A301" s="164">
        <f t="shared" si="4"/>
        <v>301</v>
      </c>
      <c r="B301" s="165" t="s">
        <v>378</v>
      </c>
      <c r="C301" s="165" t="s">
        <v>171</v>
      </c>
      <c r="D301" s="181">
        <v>8.7159999999999993</v>
      </c>
      <c r="E301" s="178">
        <v>8.8640000000000008</v>
      </c>
      <c r="F301" s="178">
        <v>8.9819999999999993</v>
      </c>
      <c r="G301" s="178">
        <v>9.1969999999999992</v>
      </c>
      <c r="H301" s="175">
        <v>9.0299999999999994</v>
      </c>
      <c r="I301" s="175">
        <v>8.7460000000000004</v>
      </c>
      <c r="J301" s="175">
        <v>8.3439999999999994</v>
      </c>
      <c r="K301" s="175">
        <v>7.9</v>
      </c>
      <c r="L301" s="175">
        <v>7.3860000000000001</v>
      </c>
    </row>
    <row r="302" spans="1:12" x14ac:dyDescent="0.25">
      <c r="A302" s="164">
        <f t="shared" si="4"/>
        <v>302</v>
      </c>
      <c r="B302" s="165" t="s">
        <v>379</v>
      </c>
      <c r="C302" s="165" t="s">
        <v>174</v>
      </c>
      <c r="D302" s="178"/>
      <c r="E302" s="178">
        <v>15.598000000000001</v>
      </c>
      <c r="F302" s="178">
        <v>16.689</v>
      </c>
      <c r="G302" s="178">
        <v>17.795000000000002</v>
      </c>
      <c r="H302" s="175">
        <v>18.902000000000001</v>
      </c>
      <c r="I302" s="175">
        <v>20.001999999999999</v>
      </c>
      <c r="J302" s="175">
        <v>21.102</v>
      </c>
      <c r="K302" s="175">
        <v>22.202000000000002</v>
      </c>
      <c r="L302" s="175">
        <v>23.302</v>
      </c>
    </row>
    <row r="303" spans="1:12" x14ac:dyDescent="0.25">
      <c r="A303" s="164">
        <f t="shared" si="4"/>
        <v>303</v>
      </c>
      <c r="B303" s="170" t="s">
        <v>378</v>
      </c>
      <c r="C303" s="164"/>
      <c r="D303" s="178"/>
      <c r="E303" s="178"/>
      <c r="F303" s="178"/>
      <c r="G303" s="178"/>
      <c r="H303" s="175"/>
      <c r="I303" s="175"/>
      <c r="J303" s="175"/>
      <c r="K303" s="175"/>
      <c r="L303" s="175"/>
    </row>
    <row r="304" spans="1:12" x14ac:dyDescent="0.25">
      <c r="A304" s="164">
        <f t="shared" si="4"/>
        <v>304</v>
      </c>
      <c r="B304" s="165" t="s">
        <v>380</v>
      </c>
      <c r="C304" s="165" t="s">
        <v>174</v>
      </c>
      <c r="D304" s="178"/>
      <c r="E304" s="178">
        <v>1.518</v>
      </c>
      <c r="F304" s="178">
        <v>1.512</v>
      </c>
      <c r="G304" s="178">
        <v>1.4750000000000001</v>
      </c>
      <c r="H304" s="175">
        <v>1.3420000000000001</v>
      </c>
      <c r="I304" s="175">
        <v>1.393</v>
      </c>
      <c r="J304" s="175">
        <v>1.456</v>
      </c>
      <c r="K304" s="175">
        <v>1.5389999999999999</v>
      </c>
      <c r="L304" s="175">
        <v>1.61</v>
      </c>
    </row>
    <row r="305" spans="1:12" x14ac:dyDescent="0.25">
      <c r="A305" s="164">
        <f t="shared" si="4"/>
        <v>305</v>
      </c>
      <c r="B305" s="165" t="s">
        <v>381</v>
      </c>
      <c r="C305" s="164"/>
      <c r="D305" s="178"/>
      <c r="E305" s="178">
        <v>1.0999999999999999E-2</v>
      </c>
      <c r="F305" s="178">
        <v>0.01</v>
      </c>
      <c r="G305" s="178">
        <v>0.01</v>
      </c>
      <c r="H305" s="175">
        <v>0.01</v>
      </c>
      <c r="I305" s="175">
        <v>0.01</v>
      </c>
      <c r="J305" s="175">
        <v>0.01</v>
      </c>
      <c r="K305" s="175">
        <v>0.01</v>
      </c>
      <c r="L305" s="175">
        <v>0.01</v>
      </c>
    </row>
    <row r="306" spans="1:12" x14ac:dyDescent="0.25">
      <c r="A306" s="164">
        <f t="shared" si="4"/>
        <v>306</v>
      </c>
      <c r="B306" s="165" t="s">
        <v>382</v>
      </c>
      <c r="C306" s="165" t="s">
        <v>174</v>
      </c>
      <c r="D306" s="178"/>
      <c r="E306" s="178">
        <v>-0.60199999999999998</v>
      </c>
      <c r="F306" s="178">
        <v>-0.65900000000000003</v>
      </c>
      <c r="G306" s="178">
        <v>-0.66200000000000003</v>
      </c>
      <c r="H306" s="175">
        <v>-0.66700000000000004</v>
      </c>
      <c r="I306" s="175">
        <v>-0.73099999999999998</v>
      </c>
      <c r="J306" s="175">
        <v>-0.81599999999999995</v>
      </c>
      <c r="K306" s="175">
        <v>-0.83599999999999997</v>
      </c>
      <c r="L306" s="175">
        <v>-0.86</v>
      </c>
    </row>
    <row r="307" spans="1:12" x14ac:dyDescent="0.25">
      <c r="A307" s="164">
        <f t="shared" si="4"/>
        <v>307</v>
      </c>
      <c r="B307" s="165" t="s">
        <v>383</v>
      </c>
      <c r="C307" s="165" t="s">
        <v>174</v>
      </c>
      <c r="D307" s="178"/>
      <c r="E307" s="178">
        <v>-1.1140000000000001</v>
      </c>
      <c r="F307" s="178">
        <v>-1.208</v>
      </c>
      <c r="G307" s="178">
        <v>-1.272</v>
      </c>
      <c r="H307" s="175">
        <v>-1.3460000000000001</v>
      </c>
      <c r="I307" s="175">
        <v>-1.4470000000000001</v>
      </c>
      <c r="J307" s="175">
        <v>-1.538</v>
      </c>
      <c r="K307" s="175">
        <v>-1.633</v>
      </c>
      <c r="L307" s="175">
        <v>-1.734</v>
      </c>
    </row>
    <row r="308" spans="1:12" x14ac:dyDescent="0.25">
      <c r="A308" s="164">
        <f t="shared" si="4"/>
        <v>308</v>
      </c>
      <c r="B308" s="165" t="s">
        <v>384</v>
      </c>
      <c r="C308" s="165" t="s">
        <v>174</v>
      </c>
      <c r="D308" s="178"/>
      <c r="E308" s="178">
        <v>0.60399999999999998</v>
      </c>
      <c r="F308" s="178">
        <v>0.60299999999999998</v>
      </c>
      <c r="G308" s="178">
        <v>0.60199999999999998</v>
      </c>
      <c r="H308" s="175">
        <v>0.59399999999999997</v>
      </c>
      <c r="I308" s="175">
        <v>0.59099999999999997</v>
      </c>
      <c r="J308" s="175">
        <v>0.58599999999999997</v>
      </c>
      <c r="K308" s="175">
        <v>0.57599999999999996</v>
      </c>
      <c r="L308" s="175">
        <v>0.56000000000000005</v>
      </c>
    </row>
    <row r="309" spans="1:12" x14ac:dyDescent="0.25">
      <c r="A309" s="164">
        <f t="shared" si="4"/>
        <v>309</v>
      </c>
      <c r="B309" s="165" t="s">
        <v>385</v>
      </c>
      <c r="C309" s="165" t="s">
        <v>174</v>
      </c>
      <c r="D309" s="178"/>
      <c r="E309" s="178">
        <v>-0.26900000000000002</v>
      </c>
      <c r="F309" s="178">
        <v>-0.14000000000000001</v>
      </c>
      <c r="G309" s="178">
        <v>6.2E-2</v>
      </c>
      <c r="H309" s="175">
        <v>-0.1</v>
      </c>
      <c r="I309" s="175">
        <v>-0.1</v>
      </c>
      <c r="J309" s="175">
        <v>-0.1</v>
      </c>
      <c r="K309" s="175">
        <v>-0.1</v>
      </c>
      <c r="L309" s="175">
        <v>-0.1</v>
      </c>
    </row>
    <row r="310" spans="1:12" x14ac:dyDescent="0.25">
      <c r="A310" s="164">
        <f t="shared" si="4"/>
        <v>310</v>
      </c>
      <c r="B310" s="170" t="s">
        <v>386</v>
      </c>
      <c r="C310" s="164"/>
      <c r="D310" s="178"/>
      <c r="E310" s="183" t="s">
        <v>196</v>
      </c>
      <c r="F310" s="183" t="s">
        <v>196</v>
      </c>
      <c r="G310" s="183" t="s">
        <v>196</v>
      </c>
      <c r="H310" s="184" t="s">
        <v>196</v>
      </c>
      <c r="I310" s="184" t="s">
        <v>196</v>
      </c>
      <c r="J310" s="184" t="s">
        <v>196</v>
      </c>
      <c r="K310" s="184" t="s">
        <v>196</v>
      </c>
      <c r="L310" s="184" t="s">
        <v>196</v>
      </c>
    </row>
    <row r="311" spans="1:12" x14ac:dyDescent="0.25">
      <c r="A311" s="164">
        <f t="shared" si="4"/>
        <v>311</v>
      </c>
      <c r="B311" s="170" t="s">
        <v>387</v>
      </c>
      <c r="C311" s="164"/>
      <c r="D311" s="178"/>
      <c r="E311" s="178"/>
      <c r="F311" s="178"/>
      <c r="G311" s="178"/>
      <c r="H311" s="175"/>
      <c r="I311" s="175"/>
      <c r="J311" s="175"/>
      <c r="K311" s="175"/>
      <c r="L311" s="175"/>
    </row>
    <row r="312" spans="1:12" x14ac:dyDescent="0.25">
      <c r="A312" s="164">
        <f t="shared" si="4"/>
        <v>312</v>
      </c>
      <c r="B312" s="165" t="s">
        <v>327</v>
      </c>
      <c r="C312" s="165" t="s">
        <v>174</v>
      </c>
      <c r="D312" s="178"/>
      <c r="E312" s="178">
        <v>61.417000000000002</v>
      </c>
      <c r="F312" s="178">
        <v>66.769000000000005</v>
      </c>
      <c r="G312" s="178">
        <v>72.599000000000004</v>
      </c>
      <c r="H312" s="175">
        <v>75.540999999999997</v>
      </c>
      <c r="I312" s="175">
        <v>78.38</v>
      </c>
      <c r="J312" s="175">
        <v>80.745999999999995</v>
      </c>
      <c r="K312" s="175">
        <v>81.921000000000006</v>
      </c>
      <c r="L312" s="175">
        <v>83.478999999999999</v>
      </c>
    </row>
    <row r="313" spans="1:12" x14ac:dyDescent="0.25">
      <c r="A313" s="164">
        <f t="shared" si="4"/>
        <v>313</v>
      </c>
      <c r="B313" s="165" t="s">
        <v>367</v>
      </c>
      <c r="C313" s="165" t="s">
        <v>174</v>
      </c>
      <c r="D313" s="178"/>
      <c r="E313" s="178">
        <v>30.852</v>
      </c>
      <c r="F313" s="178">
        <v>32.033000000000001</v>
      </c>
      <c r="G313" s="178">
        <v>32.729999999999997</v>
      </c>
      <c r="H313" s="175">
        <v>32.804000000000002</v>
      </c>
      <c r="I313" s="175">
        <v>32.996000000000002</v>
      </c>
      <c r="J313" s="175">
        <v>32.816000000000003</v>
      </c>
      <c r="K313" s="175">
        <v>32.603000000000002</v>
      </c>
      <c r="L313" s="175">
        <v>32.539000000000001</v>
      </c>
    </row>
    <row r="314" spans="1:12" x14ac:dyDescent="0.25">
      <c r="A314" s="164">
        <f t="shared" si="4"/>
        <v>314</v>
      </c>
      <c r="B314" s="165" t="s">
        <v>329</v>
      </c>
      <c r="C314" s="165" t="s">
        <v>174</v>
      </c>
      <c r="D314" s="178"/>
      <c r="E314" s="178">
        <v>0</v>
      </c>
      <c r="F314" s="178">
        <v>0</v>
      </c>
      <c r="G314" s="178">
        <v>0</v>
      </c>
      <c r="H314" s="175">
        <v>0</v>
      </c>
      <c r="I314" s="175">
        <v>0</v>
      </c>
      <c r="J314" s="175">
        <v>0</v>
      </c>
      <c r="K314" s="175">
        <v>0</v>
      </c>
      <c r="L314" s="175">
        <v>0</v>
      </c>
    </row>
    <row r="315" spans="1:12" x14ac:dyDescent="0.25">
      <c r="A315" s="164">
        <f t="shared" si="4"/>
        <v>315</v>
      </c>
      <c r="B315" s="170" t="s">
        <v>388</v>
      </c>
      <c r="C315" s="164"/>
      <c r="D315" s="178"/>
      <c r="E315" s="183" t="s">
        <v>196</v>
      </c>
      <c r="F315" s="183" t="s">
        <v>196</v>
      </c>
      <c r="G315" s="183" t="s">
        <v>196</v>
      </c>
      <c r="H315" s="184" t="s">
        <v>196</v>
      </c>
      <c r="I315" s="184" t="s">
        <v>196</v>
      </c>
      <c r="J315" s="184" t="s">
        <v>196</v>
      </c>
      <c r="K315" s="184" t="s">
        <v>196</v>
      </c>
      <c r="L315" s="184" t="s">
        <v>196</v>
      </c>
    </row>
    <row r="316" spans="1:12" x14ac:dyDescent="0.25">
      <c r="A316" s="164">
        <f t="shared" si="4"/>
        <v>316</v>
      </c>
      <c r="B316" s="170" t="s">
        <v>389</v>
      </c>
      <c r="C316" s="164"/>
      <c r="D316" s="178"/>
      <c r="E316" s="178"/>
      <c r="F316" s="178"/>
      <c r="G316" s="178"/>
      <c r="H316" s="175"/>
      <c r="I316" s="175"/>
      <c r="J316" s="175"/>
      <c r="K316" s="175"/>
      <c r="L316" s="175"/>
    </row>
    <row r="317" spans="1:12" x14ac:dyDescent="0.25">
      <c r="A317" s="164">
        <f t="shared" si="4"/>
        <v>317</v>
      </c>
      <c r="B317" s="165" t="s">
        <v>390</v>
      </c>
      <c r="C317" s="165" t="s">
        <v>174</v>
      </c>
      <c r="D317" s="178"/>
      <c r="E317" s="178">
        <v>7.2290000000000001</v>
      </c>
      <c r="F317" s="178">
        <v>7.6079999999999997</v>
      </c>
      <c r="G317" s="178">
        <v>7.7809999999999997</v>
      </c>
      <c r="H317" s="175">
        <v>10.105</v>
      </c>
      <c r="I317" s="175">
        <v>10.39</v>
      </c>
      <c r="J317" s="175">
        <v>8.9809999999999999</v>
      </c>
      <c r="K317" s="175">
        <v>7.0730000000000004</v>
      </c>
      <c r="L317" s="175">
        <v>6.9550000000000001</v>
      </c>
    </row>
    <row r="318" spans="1:12" x14ac:dyDescent="0.25">
      <c r="A318" s="164">
        <f t="shared" si="4"/>
        <v>318</v>
      </c>
      <c r="B318" s="165" t="s">
        <v>391</v>
      </c>
      <c r="C318" s="165" t="s">
        <v>174</v>
      </c>
      <c r="D318" s="178"/>
      <c r="E318" s="178">
        <v>-1.2110000000000001</v>
      </c>
      <c r="F318" s="178">
        <v>-1.7470000000000001</v>
      </c>
      <c r="G318" s="178">
        <v>-1.5329999999999999</v>
      </c>
      <c r="H318" s="175">
        <v>-3.214</v>
      </c>
      <c r="I318" s="175">
        <v>-0.7</v>
      </c>
      <c r="J318" s="175">
        <v>-0.879</v>
      </c>
      <c r="K318" s="175">
        <v>-1.325</v>
      </c>
      <c r="L318" s="175">
        <v>-0.58899999999999997</v>
      </c>
    </row>
    <row r="319" spans="1:12" x14ac:dyDescent="0.25">
      <c r="A319" s="164">
        <f t="shared" si="4"/>
        <v>319</v>
      </c>
      <c r="B319" s="165" t="s">
        <v>392</v>
      </c>
      <c r="C319" s="165" t="s">
        <v>174</v>
      </c>
      <c r="D319" s="178"/>
      <c r="E319" s="178">
        <v>3.0640000000000001</v>
      </c>
      <c r="F319" s="178">
        <v>6.3710000000000004</v>
      </c>
      <c r="G319" s="178">
        <v>5.26</v>
      </c>
      <c r="H319" s="175">
        <v>1.4E-2</v>
      </c>
      <c r="I319" s="175">
        <v>0</v>
      </c>
      <c r="J319" s="175">
        <v>0</v>
      </c>
      <c r="K319" s="175">
        <v>0</v>
      </c>
      <c r="L319" s="175">
        <v>0</v>
      </c>
    </row>
    <row r="320" spans="1:12" x14ac:dyDescent="0.25">
      <c r="A320" s="164">
        <f t="shared" si="4"/>
        <v>320</v>
      </c>
      <c r="B320" s="165" t="s">
        <v>393</v>
      </c>
      <c r="C320" s="165" t="s">
        <v>174</v>
      </c>
      <c r="D320" s="178"/>
      <c r="E320" s="178">
        <v>0.15</v>
      </c>
      <c r="F320" s="178">
        <v>-1.107</v>
      </c>
      <c r="G320" s="178">
        <v>-0.68300000000000005</v>
      </c>
      <c r="H320" s="175">
        <v>-0.124</v>
      </c>
      <c r="I320" s="175">
        <v>-0.115</v>
      </c>
      <c r="J320" s="175">
        <v>-3.7999999999999999E-2</v>
      </c>
      <c r="K320" s="175">
        <v>-4.8000000000000001E-2</v>
      </c>
      <c r="L320" s="175">
        <v>1E-3</v>
      </c>
    </row>
    <row r="321" spans="1:12" x14ac:dyDescent="0.25">
      <c r="A321" s="164">
        <f t="shared" si="4"/>
        <v>321</v>
      </c>
      <c r="B321" s="170" t="s">
        <v>394</v>
      </c>
      <c r="C321" s="165" t="s">
        <v>171</v>
      </c>
      <c r="D321" s="181">
        <v>129.44900000000001</v>
      </c>
      <c r="E321" s="179">
        <v>138.68100000000001</v>
      </c>
      <c r="F321" s="179">
        <v>149.80600000000001</v>
      </c>
      <c r="G321" s="179">
        <v>160.63100000000003</v>
      </c>
      <c r="H321" s="180">
        <v>167.41200000000003</v>
      </c>
      <c r="I321" s="180">
        <v>176.98700000000002</v>
      </c>
      <c r="J321" s="180">
        <v>185.05100000000002</v>
      </c>
      <c r="K321" s="180">
        <v>190.75100000000003</v>
      </c>
      <c r="L321" s="180">
        <v>197.11800000000005</v>
      </c>
    </row>
    <row r="322" spans="1:12" x14ac:dyDescent="0.25">
      <c r="A322" s="164">
        <f t="shared" si="4"/>
        <v>322</v>
      </c>
      <c r="B322" s="165" t="s">
        <v>395</v>
      </c>
      <c r="C322" s="165" t="s">
        <v>174</v>
      </c>
      <c r="D322" s="178"/>
      <c r="E322" s="178">
        <v>-0.65500000000000003</v>
      </c>
      <c r="F322" s="178">
        <v>-0.39900000000000002</v>
      </c>
      <c r="G322" s="178">
        <v>-0.85899999999999999</v>
      </c>
      <c r="H322" s="175">
        <v>-2.5249999999999999</v>
      </c>
      <c r="I322" s="175">
        <v>-0.112</v>
      </c>
      <c r="J322" s="175">
        <v>-0.104</v>
      </c>
      <c r="K322" s="175">
        <v>-0.152</v>
      </c>
      <c r="L322" s="175">
        <v>-0.14399999999999999</v>
      </c>
    </row>
    <row r="323" spans="1:12" x14ac:dyDescent="0.25">
      <c r="A323" s="164">
        <f t="shared" ref="A323:A375" si="5">+A322+1</f>
        <v>323</v>
      </c>
      <c r="B323" s="165" t="s">
        <v>396</v>
      </c>
      <c r="C323" s="165" t="s">
        <v>174</v>
      </c>
      <c r="D323" s="178"/>
      <c r="E323" s="178">
        <v>-2.1589999999999998</v>
      </c>
      <c r="F323" s="178">
        <v>-2.4750000000000001</v>
      </c>
      <c r="G323" s="178">
        <v>-2.504</v>
      </c>
      <c r="H323" s="175">
        <v>-4.0000000000000001E-3</v>
      </c>
      <c r="I323" s="175">
        <v>0</v>
      </c>
      <c r="J323" s="175">
        <v>0</v>
      </c>
      <c r="K323" s="175">
        <v>0</v>
      </c>
      <c r="L323" s="175">
        <v>0</v>
      </c>
    </row>
    <row r="324" spans="1:12" x14ac:dyDescent="0.25">
      <c r="A324" s="164">
        <f t="shared" si="5"/>
        <v>324</v>
      </c>
      <c r="B324" s="165" t="s">
        <v>397</v>
      </c>
      <c r="C324" s="165" t="s">
        <v>174</v>
      </c>
      <c r="D324" s="178"/>
      <c r="E324" s="178">
        <v>7.8E-2</v>
      </c>
      <c r="F324" s="178">
        <v>0.28799999999999998</v>
      </c>
      <c r="G324" s="178">
        <v>0.32500000000000001</v>
      </c>
      <c r="H324" s="175">
        <v>0</v>
      </c>
      <c r="I324" s="175">
        <v>0</v>
      </c>
      <c r="J324" s="175">
        <v>0</v>
      </c>
      <c r="K324" s="175">
        <v>0</v>
      </c>
      <c r="L324" s="175">
        <v>0</v>
      </c>
    </row>
    <row r="325" spans="1:12" x14ac:dyDescent="0.25">
      <c r="A325" s="164">
        <f t="shared" si="5"/>
        <v>325</v>
      </c>
      <c r="B325" s="165" t="s">
        <v>398</v>
      </c>
      <c r="C325" s="165" t="s">
        <v>174</v>
      </c>
      <c r="D325" s="178"/>
      <c r="E325" s="178">
        <v>3.8730000000000002</v>
      </c>
      <c r="F325" s="178">
        <v>3.9119999999999999</v>
      </c>
      <c r="G325" s="178">
        <v>4.0730000000000004</v>
      </c>
      <c r="H325" s="175">
        <v>4.5679999999999996</v>
      </c>
      <c r="I325" s="175">
        <v>4.7140000000000004</v>
      </c>
      <c r="J325" s="175">
        <v>4.8440000000000003</v>
      </c>
      <c r="K325" s="175">
        <v>4.8620000000000001</v>
      </c>
      <c r="L325" s="175">
        <v>4.8739999999999997</v>
      </c>
    </row>
    <row r="326" spans="1:12" x14ac:dyDescent="0.25">
      <c r="A326" s="164">
        <f t="shared" si="5"/>
        <v>326</v>
      </c>
      <c r="B326" s="165" t="s">
        <v>393</v>
      </c>
      <c r="C326" s="165" t="s">
        <v>174</v>
      </c>
      <c r="D326" s="178"/>
      <c r="E326" s="178">
        <v>-0.157</v>
      </c>
      <c r="F326" s="178">
        <v>-0.14199999999999999</v>
      </c>
      <c r="G326" s="178">
        <v>-0.26100000000000001</v>
      </c>
      <c r="H326" s="175">
        <v>-3.1E-2</v>
      </c>
      <c r="I326" s="175">
        <v>-4.0000000000000001E-3</v>
      </c>
      <c r="J326" s="175">
        <v>-3.0000000000000001E-3</v>
      </c>
      <c r="K326" s="175">
        <v>-2.1000000000000001E-2</v>
      </c>
      <c r="L326" s="175">
        <v>-3.0000000000000001E-3</v>
      </c>
    </row>
    <row r="327" spans="1:12" x14ac:dyDescent="0.25">
      <c r="A327" s="164">
        <f t="shared" si="5"/>
        <v>327</v>
      </c>
      <c r="B327" s="170" t="s">
        <v>399</v>
      </c>
      <c r="C327" s="165" t="s">
        <v>171</v>
      </c>
      <c r="D327" s="181">
        <v>13.142999999999999</v>
      </c>
      <c r="E327" s="179">
        <v>14.123000000000001</v>
      </c>
      <c r="F327" s="179">
        <v>15.307000000000002</v>
      </c>
      <c r="G327" s="179">
        <v>16.081000000000003</v>
      </c>
      <c r="H327" s="180">
        <v>18.089000000000006</v>
      </c>
      <c r="I327" s="180">
        <v>22.687000000000008</v>
      </c>
      <c r="J327" s="180">
        <v>27.42400000000001</v>
      </c>
      <c r="K327" s="180">
        <v>32.113000000000007</v>
      </c>
      <c r="L327" s="180">
        <v>36.840000000000011</v>
      </c>
    </row>
    <row r="328" spans="1:12" x14ac:dyDescent="0.25">
      <c r="A328" s="164">
        <f t="shared" si="5"/>
        <v>328</v>
      </c>
      <c r="B328" s="170" t="s">
        <v>400</v>
      </c>
      <c r="C328" s="164"/>
      <c r="D328" s="178"/>
      <c r="E328" s="183" t="s">
        <v>196</v>
      </c>
      <c r="F328" s="183" t="s">
        <v>196</v>
      </c>
      <c r="G328" s="183" t="s">
        <v>196</v>
      </c>
      <c r="H328" s="184" t="s">
        <v>196</v>
      </c>
      <c r="I328" s="184" t="s">
        <v>196</v>
      </c>
      <c r="J328" s="184" t="s">
        <v>196</v>
      </c>
      <c r="K328" s="184" t="s">
        <v>196</v>
      </c>
      <c r="L328" s="184" t="s">
        <v>196</v>
      </c>
    </row>
    <row r="329" spans="1:12" x14ac:dyDescent="0.25">
      <c r="A329" s="164">
        <f t="shared" si="5"/>
        <v>329</v>
      </c>
      <c r="B329" s="170" t="s">
        <v>255</v>
      </c>
      <c r="C329" s="164"/>
      <c r="D329" s="178"/>
      <c r="E329" s="178"/>
      <c r="F329" s="178"/>
      <c r="G329" s="178"/>
      <c r="H329" s="175"/>
      <c r="I329" s="175"/>
      <c r="J329" s="175"/>
      <c r="K329" s="175"/>
      <c r="L329" s="175"/>
    </row>
    <row r="330" spans="1:12" x14ac:dyDescent="0.25">
      <c r="A330" s="164">
        <f t="shared" si="5"/>
        <v>330</v>
      </c>
      <c r="B330" s="165" t="s">
        <v>327</v>
      </c>
      <c r="C330" s="165" t="s">
        <v>174</v>
      </c>
      <c r="D330" s="178"/>
      <c r="E330" s="178">
        <v>0.60699999999999998</v>
      </c>
      <c r="F330" s="178">
        <v>0.54400000000000004</v>
      </c>
      <c r="G330" s="178">
        <v>0.57199999999999995</v>
      </c>
      <c r="H330" s="175">
        <v>0.56200000000000006</v>
      </c>
      <c r="I330" s="175">
        <v>0.55000000000000004</v>
      </c>
      <c r="J330" s="175">
        <v>0.54</v>
      </c>
      <c r="K330" s="175">
        <v>0.51500000000000001</v>
      </c>
      <c r="L330" s="175">
        <v>0.495</v>
      </c>
    </row>
    <row r="331" spans="1:12" x14ac:dyDescent="0.25">
      <c r="A331" s="164">
        <f t="shared" si="5"/>
        <v>331</v>
      </c>
      <c r="B331" s="165" t="s">
        <v>367</v>
      </c>
      <c r="C331" s="165" t="s">
        <v>174</v>
      </c>
      <c r="D331" s="178"/>
      <c r="E331" s="178">
        <v>1.21</v>
      </c>
      <c r="F331" s="178">
        <v>1.3009999999999999</v>
      </c>
      <c r="G331" s="178">
        <v>1.5229999999999999</v>
      </c>
      <c r="H331" s="175">
        <v>1.5640000000000001</v>
      </c>
      <c r="I331" s="175">
        <v>1.5549999999999999</v>
      </c>
      <c r="J331" s="175">
        <v>1.534</v>
      </c>
      <c r="K331" s="175">
        <v>1.532</v>
      </c>
      <c r="L331" s="175">
        <v>1.5149999999999999</v>
      </c>
    </row>
    <row r="332" spans="1:12" x14ac:dyDescent="0.25">
      <c r="A332" s="164">
        <f t="shared" si="5"/>
        <v>332</v>
      </c>
      <c r="B332" s="165" t="s">
        <v>329</v>
      </c>
      <c r="C332" s="165" t="s">
        <v>174</v>
      </c>
      <c r="D332" s="178"/>
      <c r="E332" s="178">
        <v>0</v>
      </c>
      <c r="F332" s="178">
        <v>0</v>
      </c>
      <c r="G332" s="178">
        <v>-0.02</v>
      </c>
      <c r="H332" s="175">
        <v>-0.02</v>
      </c>
      <c r="I332" s="175">
        <v>-0.02</v>
      </c>
      <c r="J332" s="175">
        <v>-1.9E-2</v>
      </c>
      <c r="K332" s="175">
        <v>-1.9E-2</v>
      </c>
      <c r="L332" s="175">
        <v>-1.9E-2</v>
      </c>
    </row>
    <row r="333" spans="1:12" x14ac:dyDescent="0.25">
      <c r="A333" s="164">
        <f t="shared" si="5"/>
        <v>333</v>
      </c>
      <c r="B333" s="170" t="s">
        <v>401</v>
      </c>
      <c r="C333" s="164"/>
      <c r="D333" s="178"/>
      <c r="E333" s="183" t="s">
        <v>196</v>
      </c>
      <c r="F333" s="183" t="s">
        <v>196</v>
      </c>
      <c r="G333" s="183" t="s">
        <v>196</v>
      </c>
      <c r="H333" s="184" t="s">
        <v>196</v>
      </c>
      <c r="I333" s="184" t="s">
        <v>196</v>
      </c>
      <c r="J333" s="184" t="s">
        <v>196</v>
      </c>
      <c r="K333" s="184" t="s">
        <v>196</v>
      </c>
      <c r="L333" s="184" t="s">
        <v>196</v>
      </c>
    </row>
    <row r="334" spans="1:12" x14ac:dyDescent="0.25">
      <c r="A334" s="164">
        <f t="shared" si="5"/>
        <v>334</v>
      </c>
      <c r="B334" s="170" t="s">
        <v>402</v>
      </c>
      <c r="C334" s="164"/>
      <c r="D334" s="178"/>
      <c r="E334" s="178"/>
      <c r="F334" s="178"/>
      <c r="G334" s="178"/>
      <c r="H334" s="175"/>
      <c r="I334" s="175"/>
      <c r="J334" s="175"/>
      <c r="K334" s="175"/>
      <c r="L334" s="175"/>
    </row>
    <row r="335" spans="1:12" x14ac:dyDescent="0.25">
      <c r="A335" s="164">
        <f t="shared" si="5"/>
        <v>335</v>
      </c>
      <c r="B335" s="165" t="s">
        <v>403</v>
      </c>
      <c r="C335" s="165" t="s">
        <v>174</v>
      </c>
      <c r="D335" s="178"/>
      <c r="E335" s="178">
        <v>0.76</v>
      </c>
      <c r="F335" s="178">
        <v>0.752</v>
      </c>
      <c r="G335" s="178">
        <v>0.83299999999999996</v>
      </c>
      <c r="H335" s="175">
        <v>0.92900000000000005</v>
      </c>
      <c r="I335" s="175">
        <v>1.044</v>
      </c>
      <c r="J335" s="175">
        <v>1.1519999999999999</v>
      </c>
      <c r="K335" s="175">
        <v>1.2529999999999999</v>
      </c>
      <c r="L335" s="175">
        <v>1.407</v>
      </c>
    </row>
    <row r="336" spans="1:12" x14ac:dyDescent="0.25">
      <c r="A336" s="164">
        <f t="shared" si="5"/>
        <v>336</v>
      </c>
      <c r="B336" s="165" t="s">
        <v>404</v>
      </c>
      <c r="C336" s="165" t="s">
        <v>174</v>
      </c>
      <c r="D336" s="178"/>
      <c r="E336" s="178">
        <v>4.5999999999999999E-2</v>
      </c>
      <c r="F336" s="178">
        <v>0.51200000000000001</v>
      </c>
      <c r="G336" s="178">
        <v>1.139</v>
      </c>
      <c r="H336" s="175">
        <v>0.70699999999999996</v>
      </c>
      <c r="I336" s="175">
        <v>0.80700000000000005</v>
      </c>
      <c r="J336" s="175">
        <v>0.89</v>
      </c>
      <c r="K336" s="175">
        <v>0.96799999999999997</v>
      </c>
      <c r="L336" s="175">
        <v>1.089</v>
      </c>
    </row>
    <row r="337" spans="1:12" x14ac:dyDescent="0.25">
      <c r="A337" s="164">
        <f t="shared" si="5"/>
        <v>337</v>
      </c>
      <c r="B337" s="165" t="s">
        <v>405</v>
      </c>
      <c r="C337" s="165" t="s">
        <v>174</v>
      </c>
      <c r="D337" s="178"/>
      <c r="E337" s="178">
        <v>0.19800000000000001</v>
      </c>
      <c r="F337" s="178">
        <v>0.13800000000000001</v>
      </c>
      <c r="G337" s="178">
        <v>0.22700000000000001</v>
      </c>
      <c r="H337" s="175">
        <v>0.22500000000000001</v>
      </c>
      <c r="I337" s="175">
        <v>0.187</v>
      </c>
      <c r="J337" s="175">
        <v>0.19900000000000001</v>
      </c>
      <c r="K337" s="175">
        <v>0.214</v>
      </c>
      <c r="L337" s="175">
        <v>0.22700000000000001</v>
      </c>
    </row>
    <row r="338" spans="1:12" x14ac:dyDescent="0.25">
      <c r="A338" s="164">
        <f t="shared" si="5"/>
        <v>338</v>
      </c>
      <c r="B338" s="165" t="s">
        <v>406</v>
      </c>
      <c r="C338" s="165" t="s">
        <v>174</v>
      </c>
      <c r="D338" s="178"/>
      <c r="E338" s="178">
        <v>3.1560000000000001</v>
      </c>
      <c r="F338" s="178">
        <v>-7.5999999999999998E-2</v>
      </c>
      <c r="G338" s="178">
        <v>5.5119999999999996</v>
      </c>
      <c r="H338" s="175">
        <v>3.0880000000000001</v>
      </c>
      <c r="I338" s="175">
        <v>2.5150000000000001</v>
      </c>
      <c r="J338" s="175">
        <v>2.7639999999999998</v>
      </c>
      <c r="K338" s="175">
        <v>2.996</v>
      </c>
      <c r="L338" s="175">
        <v>3.3559999999999999</v>
      </c>
    </row>
    <row r="339" spans="1:12" x14ac:dyDescent="0.25">
      <c r="A339" s="164">
        <f t="shared" si="5"/>
        <v>339</v>
      </c>
      <c r="B339" s="165" t="s">
        <v>407</v>
      </c>
      <c r="C339" s="165" t="s">
        <v>174</v>
      </c>
      <c r="D339" s="178"/>
      <c r="E339" s="178">
        <v>0</v>
      </c>
      <c r="F339" s="178">
        <v>0</v>
      </c>
      <c r="G339" s="178">
        <v>0</v>
      </c>
      <c r="H339" s="175">
        <v>0.5</v>
      </c>
      <c r="I339" s="175">
        <v>1</v>
      </c>
      <c r="J339" s="175">
        <v>1.5</v>
      </c>
      <c r="K339" s="175">
        <v>2.2000000000000002</v>
      </c>
      <c r="L339" s="175">
        <v>2.5</v>
      </c>
    </row>
    <row r="340" spans="1:12" x14ac:dyDescent="0.25">
      <c r="A340" s="164">
        <f t="shared" si="5"/>
        <v>340</v>
      </c>
      <c r="B340" s="165" t="s">
        <v>408</v>
      </c>
      <c r="C340" s="165" t="s">
        <v>174</v>
      </c>
      <c r="D340" s="178"/>
      <c r="E340" s="178">
        <v>4.1000000000000002E-2</v>
      </c>
      <c r="F340" s="178">
        <v>-2.1000000000000001E-2</v>
      </c>
      <c r="G340" s="178">
        <v>0</v>
      </c>
      <c r="H340" s="175">
        <v>0.05</v>
      </c>
      <c r="I340" s="175">
        <v>2.4E-2</v>
      </c>
      <c r="J340" s="175">
        <v>2.9000000000000001E-2</v>
      </c>
      <c r="K340" s="175">
        <v>3.4000000000000002E-2</v>
      </c>
      <c r="L340" s="175">
        <v>3.9E-2</v>
      </c>
    </row>
    <row r="341" spans="1:12" x14ac:dyDescent="0.25">
      <c r="A341" s="164">
        <f t="shared" si="5"/>
        <v>341</v>
      </c>
      <c r="B341" s="170" t="s">
        <v>409</v>
      </c>
      <c r="C341" s="165" t="s">
        <v>171</v>
      </c>
      <c r="D341" s="181">
        <v>25.809000000000001</v>
      </c>
      <c r="E341" s="179">
        <v>29.522000000000002</v>
      </c>
      <c r="F341" s="179">
        <v>29.526999999999997</v>
      </c>
      <c r="G341" s="179">
        <v>34.505999999999993</v>
      </c>
      <c r="H341" s="180">
        <v>38.140999999999991</v>
      </c>
      <c r="I341" s="180">
        <v>41.72999999999999</v>
      </c>
      <c r="J341" s="180">
        <v>46.085999999999999</v>
      </c>
      <c r="K341" s="180">
        <v>51.387</v>
      </c>
      <c r="L341" s="180">
        <v>57.373000000000005</v>
      </c>
    </row>
    <row r="342" spans="1:12" x14ac:dyDescent="0.25">
      <c r="A342" s="164">
        <f t="shared" si="5"/>
        <v>342</v>
      </c>
      <c r="B342" s="165" t="s">
        <v>410</v>
      </c>
      <c r="C342" s="165" t="s">
        <v>174</v>
      </c>
      <c r="D342" s="178"/>
      <c r="E342" s="178">
        <v>31.274000000000001</v>
      </c>
      <c r="F342" s="178">
        <v>30.561</v>
      </c>
      <c r="G342" s="178">
        <v>37.344999999999999</v>
      </c>
      <c r="H342" s="175">
        <v>38.847000000000001</v>
      </c>
      <c r="I342" s="175">
        <v>42.06</v>
      </c>
      <c r="J342" s="175">
        <v>46.411999999999999</v>
      </c>
      <c r="K342" s="175">
        <v>52.311999999999998</v>
      </c>
      <c r="L342" s="175">
        <v>57.731000000000002</v>
      </c>
    </row>
    <row r="343" spans="1:12" x14ac:dyDescent="0.25">
      <c r="A343" s="164">
        <f t="shared" si="5"/>
        <v>343</v>
      </c>
      <c r="B343" s="165" t="s">
        <v>411</v>
      </c>
      <c r="C343" s="165" t="s">
        <v>174</v>
      </c>
      <c r="D343" s="178"/>
      <c r="E343" s="178">
        <v>-3.145</v>
      </c>
      <c r="F343" s="178">
        <v>-2.58</v>
      </c>
      <c r="G343" s="178">
        <v>-4.6559999999999997</v>
      </c>
      <c r="H343" s="175">
        <v>-2.5249999999999999</v>
      </c>
      <c r="I343" s="175">
        <v>-2.2559999999999998</v>
      </c>
      <c r="J343" s="175">
        <v>-2.3149999999999999</v>
      </c>
      <c r="K343" s="175">
        <v>-2.98</v>
      </c>
      <c r="L343" s="175">
        <v>-2.484</v>
      </c>
    </row>
    <row r="344" spans="1:12" x14ac:dyDescent="0.25">
      <c r="A344" s="164">
        <f t="shared" si="5"/>
        <v>344</v>
      </c>
      <c r="B344" s="165" t="s">
        <v>412</v>
      </c>
      <c r="C344" s="165" t="s">
        <v>174</v>
      </c>
      <c r="D344" s="178"/>
      <c r="E344" s="178">
        <v>1.393</v>
      </c>
      <c r="F344" s="178">
        <v>1.546</v>
      </c>
      <c r="G344" s="178">
        <v>1.8169999999999999</v>
      </c>
      <c r="H344" s="175">
        <v>1.819</v>
      </c>
      <c r="I344" s="175">
        <v>1.9259999999999999</v>
      </c>
      <c r="J344" s="175">
        <v>1.9890000000000001</v>
      </c>
      <c r="K344" s="175">
        <v>2.0550000000000002</v>
      </c>
      <c r="L344" s="175">
        <v>2.1259999999999999</v>
      </c>
    </row>
    <row r="345" spans="1:12" x14ac:dyDescent="0.25">
      <c r="A345" s="164">
        <f t="shared" si="5"/>
        <v>345</v>
      </c>
      <c r="B345" s="170" t="s">
        <v>413</v>
      </c>
      <c r="C345" s="164"/>
      <c r="D345" s="178"/>
      <c r="E345" s="183" t="s">
        <v>196</v>
      </c>
      <c r="F345" s="183" t="s">
        <v>196</v>
      </c>
      <c r="G345" s="183" t="s">
        <v>196</v>
      </c>
      <c r="H345" s="184" t="s">
        <v>196</v>
      </c>
      <c r="I345" s="184" t="s">
        <v>196</v>
      </c>
      <c r="J345" s="184" t="s">
        <v>196</v>
      </c>
      <c r="K345" s="184" t="s">
        <v>196</v>
      </c>
      <c r="L345" s="184" t="s">
        <v>196</v>
      </c>
    </row>
    <row r="346" spans="1:12" x14ac:dyDescent="0.25">
      <c r="A346" s="164">
        <f t="shared" si="5"/>
        <v>346</v>
      </c>
      <c r="B346" s="170" t="s">
        <v>260</v>
      </c>
      <c r="C346" s="164"/>
      <c r="D346" s="178"/>
      <c r="E346" s="178"/>
      <c r="F346" s="178"/>
      <c r="G346" s="178"/>
      <c r="H346" s="175"/>
      <c r="I346" s="175"/>
      <c r="J346" s="175"/>
      <c r="K346" s="175"/>
      <c r="L346" s="175"/>
    </row>
    <row r="347" spans="1:12" x14ac:dyDescent="0.25">
      <c r="A347" s="164">
        <f t="shared" si="5"/>
        <v>347</v>
      </c>
      <c r="B347" s="165" t="s">
        <v>414</v>
      </c>
      <c r="C347" s="165" t="s">
        <v>171</v>
      </c>
      <c r="D347" s="178"/>
      <c r="E347" s="178">
        <v>7.5990000000000002</v>
      </c>
      <c r="F347" s="178">
        <v>7.508</v>
      </c>
      <c r="G347" s="178">
        <v>10.516999999999999</v>
      </c>
      <c r="H347" s="175">
        <v>7.9960000000000004</v>
      </c>
      <c r="I347" s="175">
        <v>8.0660000000000007</v>
      </c>
      <c r="J347" s="175">
        <v>7.976</v>
      </c>
      <c r="K347" s="175">
        <v>8.7669999999999995</v>
      </c>
      <c r="L347" s="175">
        <v>8.4640000000000004</v>
      </c>
    </row>
    <row r="348" spans="1:12" x14ac:dyDescent="0.25">
      <c r="A348" s="164">
        <f t="shared" si="5"/>
        <v>348</v>
      </c>
      <c r="B348" s="165" t="s">
        <v>415</v>
      </c>
      <c r="C348" s="165" t="s">
        <v>174</v>
      </c>
      <c r="D348" s="178"/>
      <c r="E348" s="178">
        <v>4.3540000000000001</v>
      </c>
      <c r="F348" s="178">
        <v>4.5209999999999999</v>
      </c>
      <c r="G348" s="178">
        <v>4.2770000000000001</v>
      </c>
      <c r="H348" s="175">
        <v>4.3099999999999996</v>
      </c>
      <c r="I348" s="175">
        <v>4.3209999999999997</v>
      </c>
      <c r="J348" s="175">
        <v>4.3470000000000004</v>
      </c>
      <c r="K348" s="175">
        <v>4.3689999999999998</v>
      </c>
      <c r="L348" s="175">
        <v>4.3879999999999999</v>
      </c>
    </row>
    <row r="349" spans="1:12" x14ac:dyDescent="0.25">
      <c r="A349" s="164">
        <f t="shared" si="5"/>
        <v>349</v>
      </c>
      <c r="B349" s="170" t="s">
        <v>416</v>
      </c>
      <c r="C349" s="164"/>
      <c r="D349" s="178"/>
      <c r="E349" s="183" t="s">
        <v>196</v>
      </c>
      <c r="F349" s="183" t="s">
        <v>196</v>
      </c>
      <c r="G349" s="183" t="s">
        <v>196</v>
      </c>
      <c r="H349" s="184" t="s">
        <v>196</v>
      </c>
      <c r="I349" s="184" t="s">
        <v>196</v>
      </c>
      <c r="J349" s="184" t="s">
        <v>196</v>
      </c>
      <c r="K349" s="184" t="s">
        <v>196</v>
      </c>
      <c r="L349" s="184" t="s">
        <v>196</v>
      </c>
    </row>
    <row r="350" spans="1:12" x14ac:dyDescent="0.25">
      <c r="A350" s="164">
        <f t="shared" si="5"/>
        <v>350</v>
      </c>
      <c r="B350" s="170" t="s">
        <v>263</v>
      </c>
      <c r="C350" s="164"/>
      <c r="D350" s="178"/>
      <c r="E350" s="178"/>
      <c r="F350" s="178"/>
      <c r="G350" s="178"/>
      <c r="H350" s="175"/>
      <c r="I350" s="175"/>
      <c r="J350" s="175"/>
      <c r="K350" s="175"/>
      <c r="L350" s="175"/>
    </row>
    <row r="351" spans="1:12" x14ac:dyDescent="0.25">
      <c r="A351" s="164">
        <f t="shared" si="5"/>
        <v>351</v>
      </c>
      <c r="B351" s="165" t="s">
        <v>348</v>
      </c>
      <c r="C351" s="165" t="s">
        <v>174</v>
      </c>
      <c r="D351" s="178"/>
      <c r="E351" s="178">
        <v>32.518000000000001</v>
      </c>
      <c r="F351" s="178">
        <v>39.106000000000002</v>
      </c>
      <c r="G351" s="178">
        <v>40.287999999999997</v>
      </c>
      <c r="H351" s="175">
        <v>42.280999999999999</v>
      </c>
      <c r="I351" s="175">
        <v>43.802</v>
      </c>
      <c r="J351" s="175">
        <v>45.503</v>
      </c>
      <c r="K351" s="175">
        <v>47.441000000000003</v>
      </c>
      <c r="L351" s="175">
        <v>49.427999999999997</v>
      </c>
    </row>
    <row r="352" spans="1:12" x14ac:dyDescent="0.25">
      <c r="A352" s="164">
        <f t="shared" si="5"/>
        <v>352</v>
      </c>
      <c r="B352" s="165" t="s">
        <v>349</v>
      </c>
      <c r="C352" s="165" t="s">
        <v>174</v>
      </c>
      <c r="D352" s="178"/>
      <c r="E352" s="178">
        <v>2.9649999999999999</v>
      </c>
      <c r="F352" s="178">
        <v>2.4849999999999999</v>
      </c>
      <c r="G352" s="178">
        <v>1.853</v>
      </c>
      <c r="H352" s="175">
        <v>0.70799999999999996</v>
      </c>
      <c r="I352" s="175">
        <v>0.26700000000000002</v>
      </c>
      <c r="J352" s="175">
        <v>0.246</v>
      </c>
      <c r="K352" s="175">
        <v>0.245</v>
      </c>
      <c r="L352" s="175">
        <v>0.245</v>
      </c>
    </row>
    <row r="353" spans="1:12" x14ac:dyDescent="0.25">
      <c r="A353" s="164">
        <f t="shared" si="5"/>
        <v>353</v>
      </c>
      <c r="B353" s="165" t="s">
        <v>417</v>
      </c>
      <c r="C353" s="165" t="s">
        <v>174</v>
      </c>
      <c r="D353" s="178"/>
      <c r="E353" s="178">
        <v>0.94799999999999995</v>
      </c>
      <c r="F353" s="178">
        <v>0.53500000000000003</v>
      </c>
      <c r="G353" s="178">
        <v>0.64500000000000002</v>
      </c>
      <c r="H353" s="175">
        <v>0.375</v>
      </c>
      <c r="I353" s="175">
        <v>0.11700000000000001</v>
      </c>
      <c r="J353" s="175">
        <v>3.5000000000000003E-2</v>
      </c>
      <c r="K353" s="175">
        <v>3.5000000000000003E-2</v>
      </c>
      <c r="L353" s="175">
        <v>3.5000000000000003E-2</v>
      </c>
    </row>
    <row r="354" spans="1:12" x14ac:dyDescent="0.25">
      <c r="A354" s="164">
        <f t="shared" si="5"/>
        <v>354</v>
      </c>
      <c r="B354" s="170" t="s">
        <v>418</v>
      </c>
      <c r="C354" s="164"/>
      <c r="D354" s="178"/>
      <c r="E354" s="183" t="s">
        <v>196</v>
      </c>
      <c r="F354" s="183" t="s">
        <v>196</v>
      </c>
      <c r="G354" s="183" t="s">
        <v>196</v>
      </c>
      <c r="H354" s="184" t="s">
        <v>196</v>
      </c>
      <c r="I354" s="184" t="s">
        <v>196</v>
      </c>
      <c r="J354" s="184" t="s">
        <v>196</v>
      </c>
      <c r="K354" s="184" t="s">
        <v>196</v>
      </c>
      <c r="L354" s="184" t="s">
        <v>196</v>
      </c>
    </row>
    <row r="355" spans="1:12" x14ac:dyDescent="0.25">
      <c r="A355" s="164">
        <f t="shared" si="5"/>
        <v>355</v>
      </c>
      <c r="B355" s="171"/>
      <c r="C355" s="164"/>
      <c r="D355" s="178"/>
      <c r="E355" s="178"/>
      <c r="F355" s="178"/>
      <c r="G355" s="178"/>
      <c r="H355" s="175"/>
      <c r="I355" s="175"/>
      <c r="J355" s="175"/>
      <c r="K355" s="175"/>
      <c r="L355" s="175"/>
    </row>
    <row r="356" spans="1:12" x14ac:dyDescent="0.25">
      <c r="A356" s="164">
        <f t="shared" si="5"/>
        <v>356</v>
      </c>
      <c r="B356" s="170" t="s">
        <v>419</v>
      </c>
      <c r="C356" s="164"/>
      <c r="D356" s="178"/>
      <c r="E356" s="178"/>
      <c r="F356" s="178"/>
      <c r="G356" s="178"/>
      <c r="H356" s="175"/>
      <c r="I356" s="175"/>
      <c r="J356" s="175"/>
      <c r="K356" s="175"/>
      <c r="L356" s="175"/>
    </row>
    <row r="357" spans="1:12" x14ac:dyDescent="0.25">
      <c r="A357" s="164">
        <f t="shared" si="5"/>
        <v>357</v>
      </c>
      <c r="B357" s="165" t="s">
        <v>420</v>
      </c>
      <c r="C357" s="165" t="s">
        <v>174</v>
      </c>
      <c r="D357" s="178"/>
      <c r="E357" s="178">
        <v>66.347999999999999</v>
      </c>
      <c r="F357" s="178">
        <v>69.75</v>
      </c>
      <c r="G357" s="178">
        <v>74.728999999999999</v>
      </c>
      <c r="H357" s="175">
        <v>77.418999999999997</v>
      </c>
      <c r="I357" s="175">
        <v>82.570999999999998</v>
      </c>
      <c r="J357" s="175">
        <v>87.474999999999994</v>
      </c>
      <c r="K357" s="175">
        <v>92.759</v>
      </c>
      <c r="L357" s="175">
        <v>97.617999999999995</v>
      </c>
    </row>
    <row r="358" spans="1:12" x14ac:dyDescent="0.25">
      <c r="A358" s="164">
        <f t="shared" si="5"/>
        <v>358</v>
      </c>
      <c r="B358" s="165" t="s">
        <v>206</v>
      </c>
      <c r="C358" s="165" t="s">
        <v>174</v>
      </c>
      <c r="D358" s="178"/>
      <c r="E358" s="178">
        <v>0.88900000000000001</v>
      </c>
      <c r="F358" s="178">
        <v>0.83499999999999996</v>
      </c>
      <c r="G358" s="178">
        <v>0.95499999999999996</v>
      </c>
      <c r="H358" s="175">
        <v>0.89200000000000002</v>
      </c>
      <c r="I358" s="175">
        <v>0.90700000000000003</v>
      </c>
      <c r="J358" s="175">
        <v>0.872</v>
      </c>
      <c r="K358" s="175">
        <v>0.877</v>
      </c>
      <c r="L358" s="175">
        <v>0.88700000000000001</v>
      </c>
    </row>
    <row r="359" spans="1:12" x14ac:dyDescent="0.25">
      <c r="A359" s="164">
        <f t="shared" si="5"/>
        <v>359</v>
      </c>
      <c r="B359" s="165" t="s">
        <v>421</v>
      </c>
      <c r="C359" s="165" t="s">
        <v>174</v>
      </c>
      <c r="D359" s="178"/>
      <c r="E359" s="178">
        <v>1.806</v>
      </c>
      <c r="F359" s="178">
        <v>1.6990000000000001</v>
      </c>
      <c r="G359" s="178">
        <v>1.77</v>
      </c>
      <c r="H359" s="175">
        <v>1.4470000000000001</v>
      </c>
      <c r="I359" s="175">
        <v>1.3759999999999999</v>
      </c>
      <c r="J359" s="175">
        <v>1.4239999999999999</v>
      </c>
      <c r="K359" s="175">
        <v>1.4790000000000001</v>
      </c>
      <c r="L359" s="175">
        <v>1.502</v>
      </c>
    </row>
    <row r="360" spans="1:12" x14ac:dyDescent="0.25">
      <c r="A360" s="164">
        <f t="shared" si="5"/>
        <v>360</v>
      </c>
      <c r="B360" s="165" t="s">
        <v>422</v>
      </c>
      <c r="C360" s="165" t="s">
        <v>174</v>
      </c>
      <c r="D360" s="178"/>
      <c r="E360" s="178">
        <v>2.4329999999999998</v>
      </c>
      <c r="F360" s="178">
        <v>2.0259999999999998</v>
      </c>
      <c r="G360" s="178">
        <v>2.258</v>
      </c>
      <c r="H360" s="175">
        <v>2.411</v>
      </c>
      <c r="I360" s="175">
        <v>2.2280000000000002</v>
      </c>
      <c r="J360" s="175">
        <v>2.2410000000000001</v>
      </c>
      <c r="K360" s="175">
        <v>2.2160000000000002</v>
      </c>
      <c r="L360" s="175">
        <v>2.2320000000000002</v>
      </c>
    </row>
    <row r="361" spans="1:12" x14ac:dyDescent="0.25">
      <c r="A361" s="164">
        <f t="shared" si="5"/>
        <v>361</v>
      </c>
      <c r="B361" s="165" t="s">
        <v>177</v>
      </c>
      <c r="C361" s="165" t="s">
        <v>174</v>
      </c>
      <c r="D361" s="178"/>
      <c r="E361" s="178">
        <v>-23.895</v>
      </c>
      <c r="F361" s="178">
        <v>-24.338000000000001</v>
      </c>
      <c r="G361" s="178">
        <v>-25.292999999999999</v>
      </c>
      <c r="H361" s="175">
        <v>-26.294</v>
      </c>
      <c r="I361" s="175">
        <v>-28.87</v>
      </c>
      <c r="J361" s="175">
        <v>-29.992999999999999</v>
      </c>
      <c r="K361" s="175">
        <v>-31.193000000000001</v>
      </c>
      <c r="L361" s="175">
        <v>-32.494</v>
      </c>
    </row>
    <row r="362" spans="1:12" x14ac:dyDescent="0.25">
      <c r="A362" s="164">
        <f t="shared" si="5"/>
        <v>362</v>
      </c>
      <c r="B362" s="165" t="s">
        <v>423</v>
      </c>
      <c r="C362" s="165" t="s">
        <v>174</v>
      </c>
      <c r="D362" s="178"/>
      <c r="E362" s="178">
        <v>-42.064</v>
      </c>
      <c r="F362" s="178">
        <v>-43.103000000000002</v>
      </c>
      <c r="G362" s="178">
        <v>-44.581000000000003</v>
      </c>
      <c r="H362" s="175">
        <v>-49.563000000000002</v>
      </c>
      <c r="I362" s="175">
        <v>-48.640999999999998</v>
      </c>
      <c r="J362" s="175">
        <v>-48.35</v>
      </c>
      <c r="K362" s="175">
        <v>-48.268000000000001</v>
      </c>
      <c r="L362" s="175">
        <v>-48.121000000000002</v>
      </c>
    </row>
    <row r="363" spans="1:12" x14ac:dyDescent="0.25">
      <c r="A363" s="164">
        <f t="shared" si="5"/>
        <v>363</v>
      </c>
      <c r="B363" s="165" t="s">
        <v>29</v>
      </c>
      <c r="C363" s="165" t="s">
        <v>174</v>
      </c>
      <c r="D363" s="178"/>
      <c r="E363" s="178">
        <v>-3.9220000000000002</v>
      </c>
      <c r="F363" s="178">
        <v>-3.6040000000000001</v>
      </c>
      <c r="G363" s="178">
        <v>-3.53</v>
      </c>
      <c r="H363" s="175">
        <v>-3.4980000000000002</v>
      </c>
      <c r="I363" s="175">
        <v>-3.343</v>
      </c>
      <c r="J363" s="175">
        <v>-3.274</v>
      </c>
      <c r="K363" s="175">
        <v>-3.3610000000000002</v>
      </c>
      <c r="L363" s="175">
        <v>-3.012</v>
      </c>
    </row>
    <row r="364" spans="1:12" x14ac:dyDescent="0.25">
      <c r="A364" s="164">
        <f t="shared" si="5"/>
        <v>364</v>
      </c>
      <c r="B364" s="170" t="s">
        <v>424</v>
      </c>
      <c r="C364" s="164"/>
      <c r="D364" s="178"/>
      <c r="E364" s="179">
        <v>1.5950000000000029</v>
      </c>
      <c r="F364" s="179">
        <v>3.2649999999999855</v>
      </c>
      <c r="G364" s="179">
        <v>6.3079999999999874</v>
      </c>
      <c r="H364" s="180">
        <v>3.9999999999999973</v>
      </c>
      <c r="I364" s="180">
        <v>4.2569999999999908</v>
      </c>
      <c r="J364" s="180">
        <v>6.4740000000000029</v>
      </c>
      <c r="K364" s="180">
        <v>8.7449999999999903</v>
      </c>
      <c r="L364" s="180">
        <v>11.102999999999987</v>
      </c>
    </row>
    <row r="365" spans="1:12" x14ac:dyDescent="0.25">
      <c r="A365" s="164">
        <f t="shared" si="5"/>
        <v>365</v>
      </c>
      <c r="B365" s="165" t="s">
        <v>425</v>
      </c>
      <c r="C365" s="165" t="s">
        <v>174</v>
      </c>
      <c r="D365" s="178"/>
      <c r="E365" s="178">
        <v>-1.9550000000000001</v>
      </c>
      <c r="F365" s="178">
        <v>-1.9710000000000001</v>
      </c>
      <c r="G365" s="178">
        <v>-2.153</v>
      </c>
      <c r="H365" s="175">
        <v>-3.7480000000000002</v>
      </c>
      <c r="I365" s="175">
        <v>-3.5910000000000002</v>
      </c>
      <c r="J365" s="175">
        <v>-2.9169999999999998</v>
      </c>
      <c r="K365" s="175">
        <v>-1.677</v>
      </c>
      <c r="L365" s="175">
        <v>-1.855</v>
      </c>
    </row>
    <row r="366" spans="1:12" x14ac:dyDescent="0.25">
      <c r="A366" s="164">
        <f t="shared" si="5"/>
        <v>366</v>
      </c>
      <c r="B366" s="165" t="s">
        <v>426</v>
      </c>
      <c r="C366" s="165" t="s">
        <v>174</v>
      </c>
      <c r="D366" s="178"/>
      <c r="E366" s="178">
        <v>-0.56999999999999995</v>
      </c>
      <c r="F366" s="178">
        <v>-0.46800000000000003</v>
      </c>
      <c r="G366" s="178">
        <v>0.111</v>
      </c>
      <c r="H366" s="175">
        <v>-0.20499999999999999</v>
      </c>
      <c r="I366" s="175">
        <v>-9.2999999999999999E-2</v>
      </c>
      <c r="J366" s="175">
        <v>-3.1E-2</v>
      </c>
      <c r="K366" s="175">
        <v>-3.3000000000000002E-2</v>
      </c>
      <c r="L366" s="175">
        <v>0.11799999999999999</v>
      </c>
    </row>
    <row r="367" spans="1:12" x14ac:dyDescent="0.25">
      <c r="A367" s="164">
        <f t="shared" si="5"/>
        <v>367</v>
      </c>
      <c r="B367" s="165" t="s">
        <v>427</v>
      </c>
      <c r="C367" s="165" t="s">
        <v>174</v>
      </c>
      <c r="D367" s="178"/>
      <c r="E367" s="178">
        <v>-0.89699999999999991</v>
      </c>
      <c r="F367" s="178">
        <v>-2.1480000000000001</v>
      </c>
      <c r="G367" s="178">
        <v>-1.6919999999999999</v>
      </c>
      <c r="H367" s="175">
        <v>-2.99</v>
      </c>
      <c r="I367" s="175">
        <v>-2.7149999999999999</v>
      </c>
      <c r="J367" s="175">
        <v>-2.363</v>
      </c>
      <c r="K367" s="175">
        <v>-1.845</v>
      </c>
      <c r="L367" s="175">
        <v>-1.849</v>
      </c>
    </row>
    <row r="368" spans="1:12" x14ac:dyDescent="0.25">
      <c r="A368" s="164">
        <f t="shared" si="5"/>
        <v>368</v>
      </c>
      <c r="B368" s="170" t="s">
        <v>428</v>
      </c>
      <c r="C368" s="164"/>
      <c r="D368" s="178"/>
      <c r="E368" s="179">
        <v>-3.4219999999999997</v>
      </c>
      <c r="F368" s="179">
        <v>-4.5869999999999997</v>
      </c>
      <c r="G368" s="179">
        <v>-3.734</v>
      </c>
      <c r="H368" s="180">
        <v>-6.6470000000000002</v>
      </c>
      <c r="I368" s="180">
        <v>-8.9139999999999997</v>
      </c>
      <c r="J368" s="180">
        <v>-9.0259999999999998</v>
      </c>
      <c r="K368" s="180">
        <v>-8.4</v>
      </c>
      <c r="L368" s="180">
        <v>-8.7560000000000002</v>
      </c>
    </row>
    <row r="369" spans="1:12" x14ac:dyDescent="0.25">
      <c r="A369" s="164">
        <f t="shared" si="5"/>
        <v>369</v>
      </c>
      <c r="B369" s="170" t="s">
        <v>429</v>
      </c>
      <c r="C369" s="165" t="s">
        <v>171</v>
      </c>
      <c r="D369" s="178"/>
      <c r="E369" s="181">
        <v>-1.827</v>
      </c>
      <c r="F369" s="181">
        <v>-1.3220000000000001</v>
      </c>
      <c r="G369" s="181">
        <v>2.5739999999999998</v>
      </c>
      <c r="H369" s="182">
        <v>-2.6469999999999998</v>
      </c>
      <c r="I369" s="182">
        <v>-4.657</v>
      </c>
      <c r="J369" s="182">
        <v>-2.552</v>
      </c>
      <c r="K369" s="182">
        <v>0.34499999999999997</v>
      </c>
      <c r="L369" s="182">
        <v>2.347</v>
      </c>
    </row>
    <row r="370" spans="1:12" x14ac:dyDescent="0.25">
      <c r="A370" s="164">
        <f t="shared" si="5"/>
        <v>370</v>
      </c>
      <c r="B370" s="170" t="s">
        <v>430</v>
      </c>
      <c r="C370" s="164"/>
      <c r="D370" s="178"/>
      <c r="E370" s="188" t="s">
        <v>196</v>
      </c>
      <c r="F370" s="188" t="s">
        <v>196</v>
      </c>
      <c r="G370" s="188" t="s">
        <v>196</v>
      </c>
      <c r="H370" s="189" t="s">
        <v>196</v>
      </c>
      <c r="I370" s="189" t="s">
        <v>196</v>
      </c>
      <c r="J370" s="189" t="s">
        <v>196</v>
      </c>
      <c r="K370" s="189" t="s">
        <v>196</v>
      </c>
      <c r="L370" s="189" t="s">
        <v>196</v>
      </c>
    </row>
    <row r="371" spans="1:12" x14ac:dyDescent="0.25">
      <c r="A371" s="164">
        <f t="shared" si="5"/>
        <v>371</v>
      </c>
      <c r="B371" s="170" t="s">
        <v>431</v>
      </c>
      <c r="C371" s="165" t="s">
        <v>174</v>
      </c>
      <c r="D371" s="178"/>
      <c r="E371" s="181">
        <v>3.0409999999999999</v>
      </c>
      <c r="F371" s="181">
        <v>2.1779999999999999</v>
      </c>
      <c r="G371" s="181">
        <v>1.17</v>
      </c>
      <c r="H371" s="182">
        <v>-1.0409999999999999</v>
      </c>
      <c r="I371" s="182">
        <v>-0.90600000000000003</v>
      </c>
      <c r="J371" s="182">
        <v>-0.32500000000000001</v>
      </c>
      <c r="K371" s="182">
        <v>-3.9750000000000001</v>
      </c>
      <c r="L371" s="182">
        <v>7.0570000000000004</v>
      </c>
    </row>
    <row r="372" spans="1:12" x14ac:dyDescent="0.25">
      <c r="A372" s="164">
        <f t="shared" si="5"/>
        <v>372</v>
      </c>
      <c r="B372" s="165" t="s">
        <v>432</v>
      </c>
      <c r="C372" s="165" t="s">
        <v>174</v>
      </c>
      <c r="D372" s="178"/>
      <c r="E372" s="178">
        <v>0.79500000000000004</v>
      </c>
      <c r="F372" s="178">
        <v>0.68500000000000005</v>
      </c>
      <c r="G372" s="178">
        <v>-0.19500000000000001</v>
      </c>
      <c r="H372" s="175">
        <v>1.6060000000000001</v>
      </c>
      <c r="I372" s="175">
        <v>5.3810000000000002</v>
      </c>
      <c r="J372" s="175">
        <v>2.6880000000000002</v>
      </c>
      <c r="K372" s="175">
        <v>3.4359999999999999</v>
      </c>
      <c r="L372" s="175">
        <v>-9.6029999999999998</v>
      </c>
    </row>
    <row r="373" spans="1:12" x14ac:dyDescent="0.25">
      <c r="A373" s="164">
        <f t="shared" si="5"/>
        <v>373</v>
      </c>
      <c r="B373" s="165" t="s">
        <v>433</v>
      </c>
      <c r="C373" s="165" t="s">
        <v>174</v>
      </c>
      <c r="D373" s="178"/>
      <c r="E373" s="178">
        <v>-2.3809999999999998</v>
      </c>
      <c r="F373" s="178">
        <v>-1.919</v>
      </c>
      <c r="G373" s="178">
        <v>-3.8140000000000001</v>
      </c>
      <c r="H373" s="175">
        <v>1.9770000000000001</v>
      </c>
      <c r="I373" s="175">
        <v>-1E-3</v>
      </c>
      <c r="J373" s="175">
        <v>1E-3</v>
      </c>
      <c r="K373" s="175">
        <v>0</v>
      </c>
      <c r="L373" s="175">
        <v>0</v>
      </c>
    </row>
    <row r="374" spans="1:12" x14ac:dyDescent="0.25">
      <c r="A374" s="164">
        <f t="shared" si="5"/>
        <v>374</v>
      </c>
      <c r="B374" s="170" t="s">
        <v>434</v>
      </c>
      <c r="C374" s="164"/>
      <c r="D374" s="178"/>
      <c r="E374" s="179">
        <v>-1.2139999999999997</v>
      </c>
      <c r="F374" s="179">
        <v>-0.85599999999999987</v>
      </c>
      <c r="G374" s="179">
        <v>-3.7440000000000002</v>
      </c>
      <c r="H374" s="180">
        <v>3.6880000000000002</v>
      </c>
      <c r="I374" s="180">
        <v>5.5629999999999997</v>
      </c>
      <c r="J374" s="180">
        <v>2.8770000000000002</v>
      </c>
      <c r="K374" s="180">
        <v>3.63</v>
      </c>
      <c r="L374" s="180">
        <v>-9.4039999999999999</v>
      </c>
    </row>
    <row r="375" spans="1:12" x14ac:dyDescent="0.25">
      <c r="A375" s="164">
        <f t="shared" si="5"/>
        <v>375</v>
      </c>
      <c r="B375" s="170" t="s">
        <v>435</v>
      </c>
      <c r="C375" s="164"/>
      <c r="D375" s="178"/>
      <c r="E375" s="179">
        <v>1.8270000000000002</v>
      </c>
      <c r="F375" s="179">
        <v>1.3220000000000001</v>
      </c>
      <c r="G375" s="179">
        <v>-2.5740000000000003</v>
      </c>
      <c r="H375" s="180">
        <v>2.6470000000000002</v>
      </c>
      <c r="I375" s="180">
        <v>4.657</v>
      </c>
      <c r="J375" s="180">
        <v>2.552</v>
      </c>
      <c r="K375" s="180">
        <v>-0.3450000000000002</v>
      </c>
      <c r="L375" s="180">
        <v>-2.3469999999999995</v>
      </c>
    </row>
    <row r="376" spans="1:12" x14ac:dyDescent="0.25">
      <c r="B376" s="164"/>
      <c r="C376" s="164"/>
      <c r="D376" s="169"/>
      <c r="E376" s="169"/>
      <c r="F376" s="169"/>
      <c r="G376" s="169"/>
      <c r="H376" s="169"/>
      <c r="I376" s="169"/>
      <c r="J376" s="169"/>
      <c r="K376" s="169"/>
      <c r="L376" s="169"/>
    </row>
    <row r="377" spans="1:12" x14ac:dyDescent="0.25">
      <c r="B377" s="164"/>
      <c r="C377" s="164"/>
      <c r="D377" s="169"/>
      <c r="E377" s="169"/>
      <c r="F377" s="169"/>
      <c r="G377" s="169"/>
      <c r="H377" s="169"/>
      <c r="I377" s="169"/>
      <c r="J377" s="169"/>
      <c r="K377" s="169"/>
      <c r="L377" s="169"/>
    </row>
    <row r="378" spans="1:12" x14ac:dyDescent="0.25">
      <c r="B378" s="164"/>
      <c r="C378" s="164"/>
      <c r="D378" s="169"/>
      <c r="E378" s="169"/>
      <c r="F378" s="169"/>
      <c r="G378" s="169"/>
      <c r="H378" s="169"/>
      <c r="I378" s="169"/>
      <c r="J378" s="169"/>
      <c r="K378" s="169"/>
      <c r="L378" s="169"/>
    </row>
    <row r="379" spans="1:12" x14ac:dyDescent="0.25">
      <c r="B379" s="164"/>
      <c r="C379" s="164"/>
      <c r="D379" s="169"/>
      <c r="E379" s="169"/>
      <c r="F379" s="169"/>
      <c r="G379" s="169"/>
      <c r="H379" s="169"/>
      <c r="I379" s="169"/>
      <c r="J379" s="169"/>
      <c r="K379" s="169"/>
      <c r="L379" s="169"/>
    </row>
    <row r="380" spans="1:12" x14ac:dyDescent="0.25">
      <c r="B380" s="164"/>
      <c r="C380" s="164"/>
      <c r="D380" s="169"/>
      <c r="E380" s="169"/>
      <c r="F380" s="169"/>
      <c r="G380" s="169"/>
      <c r="H380" s="169"/>
      <c r="I380" s="169"/>
      <c r="J380" s="169"/>
      <c r="K380" s="169"/>
      <c r="L380" s="169"/>
    </row>
    <row r="381" spans="1:12" x14ac:dyDescent="0.25">
      <c r="B381" s="164"/>
      <c r="C381" s="164"/>
      <c r="D381" s="169"/>
      <c r="E381" s="169"/>
      <c r="F381" s="169"/>
      <c r="G381" s="169"/>
      <c r="H381" s="169"/>
      <c r="I381" s="169"/>
      <c r="J381" s="169"/>
      <c r="K381" s="169"/>
      <c r="L381" s="169"/>
    </row>
    <row r="382" spans="1:12" x14ac:dyDescent="0.25">
      <c r="B382" s="164"/>
      <c r="C382" s="164"/>
      <c r="D382" s="169"/>
      <c r="E382" s="169"/>
      <c r="F382" s="169"/>
      <c r="G382" s="169"/>
      <c r="H382" s="169"/>
      <c r="I382" s="169"/>
      <c r="J382" s="169"/>
      <c r="K382" s="169"/>
      <c r="L382" s="169"/>
    </row>
    <row r="383" spans="1:12" x14ac:dyDescent="0.25">
      <c r="B383" s="164"/>
      <c r="C383" s="164"/>
      <c r="D383" s="169"/>
      <c r="E383" s="169"/>
      <c r="F383" s="169"/>
      <c r="G383" s="169"/>
      <c r="H383" s="169"/>
      <c r="I383" s="169"/>
      <c r="J383" s="169"/>
      <c r="K383" s="169"/>
      <c r="L383" s="169"/>
    </row>
    <row r="384" spans="1:12" x14ac:dyDescent="0.25">
      <c r="B384" s="164"/>
      <c r="C384" s="164"/>
      <c r="D384" s="169"/>
      <c r="E384" s="169"/>
      <c r="F384" s="169"/>
      <c r="G384" s="169"/>
      <c r="H384" s="169"/>
      <c r="I384" s="169"/>
      <c r="J384" s="169"/>
      <c r="K384" s="169"/>
      <c r="L384" s="169"/>
    </row>
    <row r="385" spans="4:12" x14ac:dyDescent="0.25">
      <c r="D385" s="169"/>
      <c r="E385" s="169"/>
      <c r="F385" s="169"/>
      <c r="G385" s="169"/>
      <c r="H385" s="169"/>
      <c r="I385" s="169"/>
      <c r="J385" s="169"/>
      <c r="K385" s="169"/>
      <c r="L385" s="169"/>
    </row>
    <row r="386" spans="4:12" x14ac:dyDescent="0.25">
      <c r="D386" s="169"/>
      <c r="E386" s="169"/>
      <c r="F386" s="169"/>
      <c r="G386" s="169"/>
      <c r="H386" s="169"/>
      <c r="I386" s="169"/>
      <c r="J386" s="169"/>
      <c r="K386" s="169"/>
      <c r="L386" s="169"/>
    </row>
    <row r="387" spans="4:12" x14ac:dyDescent="0.25">
      <c r="D387" s="169"/>
      <c r="E387" s="169"/>
      <c r="F387" s="169"/>
      <c r="G387" s="169"/>
      <c r="H387" s="169"/>
      <c r="I387" s="169"/>
      <c r="J387" s="169"/>
      <c r="K387" s="169"/>
      <c r="L387" s="169"/>
    </row>
    <row r="388" spans="4:12" x14ac:dyDescent="0.25">
      <c r="D388" s="169"/>
      <c r="E388" s="169"/>
      <c r="F388" s="169"/>
      <c r="G388" s="169"/>
      <c r="H388" s="169"/>
      <c r="I388" s="169"/>
      <c r="J388" s="169"/>
      <c r="K388" s="169"/>
      <c r="L388" s="169"/>
    </row>
    <row r="389" spans="4:12" x14ac:dyDescent="0.25">
      <c r="D389" s="169"/>
      <c r="E389" s="169"/>
      <c r="F389" s="169"/>
      <c r="G389" s="169"/>
      <c r="H389" s="169"/>
      <c r="I389" s="169"/>
      <c r="J389" s="169"/>
      <c r="K389" s="169"/>
      <c r="L389" s="169"/>
    </row>
    <row r="390" spans="4:12" x14ac:dyDescent="0.25">
      <c r="D390" s="169"/>
      <c r="E390" s="169"/>
      <c r="F390" s="169"/>
      <c r="G390" s="169"/>
      <c r="H390" s="169"/>
      <c r="I390" s="169"/>
      <c r="J390" s="169"/>
      <c r="K390" s="169"/>
      <c r="L390" s="169"/>
    </row>
    <row r="391" spans="4:12" x14ac:dyDescent="0.25">
      <c r="D391" s="169"/>
      <c r="E391" s="169"/>
      <c r="F391" s="169"/>
      <c r="G391" s="169"/>
      <c r="H391" s="169"/>
      <c r="I391" s="169"/>
      <c r="J391" s="169"/>
      <c r="K391" s="169"/>
      <c r="L391" s="169"/>
    </row>
    <row r="392" spans="4:12" x14ac:dyDescent="0.25">
      <c r="D392" s="169"/>
      <c r="E392" s="169"/>
      <c r="F392" s="169"/>
      <c r="G392" s="169"/>
      <c r="H392" s="169"/>
      <c r="I392" s="169"/>
      <c r="J392" s="169"/>
      <c r="K392" s="169"/>
      <c r="L392" s="169"/>
    </row>
    <row r="393" spans="4:12" x14ac:dyDescent="0.25">
      <c r="D393" s="169"/>
      <c r="E393" s="169"/>
      <c r="F393" s="169"/>
      <c r="G393" s="169"/>
      <c r="H393" s="169"/>
      <c r="I393" s="169"/>
      <c r="J393" s="169"/>
      <c r="K393" s="169"/>
      <c r="L393" s="169"/>
    </row>
    <row r="394" spans="4:12" x14ac:dyDescent="0.25">
      <c r="D394" s="169"/>
      <c r="E394" s="169"/>
      <c r="F394" s="169"/>
      <c r="G394" s="169"/>
      <c r="H394" s="169"/>
      <c r="I394" s="169"/>
      <c r="J394" s="169"/>
      <c r="K394" s="169"/>
      <c r="L394" s="169"/>
    </row>
    <row r="395" spans="4:12" x14ac:dyDescent="0.25">
      <c r="D395" s="169"/>
      <c r="E395" s="169"/>
      <c r="F395" s="169"/>
      <c r="G395" s="169"/>
      <c r="H395" s="169"/>
      <c r="I395" s="169"/>
      <c r="J395" s="169"/>
      <c r="K395" s="169"/>
      <c r="L395" s="169"/>
    </row>
    <row r="396" spans="4:12" x14ac:dyDescent="0.25">
      <c r="D396" s="169"/>
      <c r="E396" s="169"/>
      <c r="F396" s="169"/>
      <c r="G396" s="169"/>
      <c r="H396" s="169"/>
      <c r="I396" s="169"/>
      <c r="J396" s="169"/>
      <c r="K396" s="169"/>
      <c r="L396" s="169"/>
    </row>
    <row r="397" spans="4:12" x14ac:dyDescent="0.25">
      <c r="D397" s="169"/>
      <c r="E397" s="169"/>
      <c r="F397" s="169"/>
      <c r="G397" s="169"/>
      <c r="H397" s="169"/>
      <c r="I397" s="169"/>
      <c r="J397" s="169"/>
      <c r="K397" s="169"/>
      <c r="L397" s="169"/>
    </row>
    <row r="398" spans="4:12" x14ac:dyDescent="0.25">
      <c r="D398" s="169"/>
      <c r="E398" s="169"/>
      <c r="F398" s="169"/>
      <c r="G398" s="169"/>
      <c r="H398" s="169"/>
      <c r="I398" s="169"/>
      <c r="J398" s="169"/>
      <c r="K398" s="169"/>
      <c r="L398" s="169"/>
    </row>
    <row r="399" spans="4:12" x14ac:dyDescent="0.25">
      <c r="D399" s="169"/>
      <c r="E399" s="169"/>
      <c r="F399" s="169"/>
      <c r="G399" s="169"/>
      <c r="H399" s="169"/>
      <c r="I399" s="169"/>
      <c r="J399" s="169"/>
      <c r="K399" s="169"/>
      <c r="L399" s="169"/>
    </row>
    <row r="400" spans="4:12" x14ac:dyDescent="0.25">
      <c r="D400" s="169"/>
      <c r="E400" s="169"/>
      <c r="F400" s="169"/>
      <c r="G400" s="169"/>
      <c r="H400" s="169"/>
      <c r="I400" s="169"/>
      <c r="J400" s="169"/>
      <c r="K400" s="169"/>
      <c r="L400" s="169"/>
    </row>
    <row r="401" spans="4:12" x14ac:dyDescent="0.25">
      <c r="D401" s="169"/>
      <c r="E401" s="169"/>
      <c r="F401" s="169"/>
      <c r="G401" s="169"/>
      <c r="H401" s="169"/>
      <c r="I401" s="169"/>
      <c r="J401" s="169"/>
      <c r="K401" s="169"/>
      <c r="L401" s="169"/>
    </row>
    <row r="402" spans="4:12" x14ac:dyDescent="0.25">
      <c r="D402" s="169"/>
      <c r="E402" s="169"/>
      <c r="F402" s="169"/>
      <c r="G402" s="169"/>
      <c r="H402" s="169"/>
      <c r="I402" s="169"/>
      <c r="J402" s="169"/>
      <c r="K402" s="169"/>
      <c r="L402" s="169"/>
    </row>
    <row r="403" spans="4:12" x14ac:dyDescent="0.25">
      <c r="D403" s="169"/>
      <c r="E403" s="169"/>
      <c r="F403" s="169"/>
      <c r="G403" s="169"/>
      <c r="H403" s="169"/>
      <c r="I403" s="169"/>
      <c r="J403" s="169"/>
      <c r="K403" s="169"/>
      <c r="L403" s="169"/>
    </row>
    <row r="404" spans="4:12" x14ac:dyDescent="0.25">
      <c r="D404" s="169"/>
      <c r="E404" s="169"/>
      <c r="F404" s="169"/>
      <c r="G404" s="169"/>
      <c r="H404" s="169"/>
      <c r="I404" s="169"/>
      <c r="J404" s="169"/>
      <c r="K404" s="169"/>
      <c r="L404" s="169"/>
    </row>
    <row r="405" spans="4:12" x14ac:dyDescent="0.25">
      <c r="D405" s="169"/>
      <c r="E405" s="169"/>
      <c r="F405" s="169"/>
      <c r="G405" s="169"/>
      <c r="H405" s="169"/>
      <c r="I405" s="169"/>
      <c r="J405" s="169"/>
      <c r="K405" s="169"/>
      <c r="L405" s="169"/>
    </row>
    <row r="406" spans="4:12" x14ac:dyDescent="0.25">
      <c r="D406" s="169"/>
      <c r="E406" s="169"/>
      <c r="F406" s="169"/>
      <c r="G406" s="169"/>
      <c r="H406" s="169"/>
      <c r="I406" s="169"/>
      <c r="J406" s="169"/>
      <c r="K406" s="169"/>
      <c r="L406" s="169"/>
    </row>
    <row r="407" spans="4:12" x14ac:dyDescent="0.25">
      <c r="D407" s="169"/>
      <c r="E407" s="169"/>
      <c r="F407" s="169"/>
      <c r="G407" s="169"/>
      <c r="H407" s="169"/>
      <c r="I407" s="169"/>
      <c r="J407" s="169"/>
      <c r="K407" s="169"/>
      <c r="L407" s="169"/>
    </row>
    <row r="408" spans="4:12" x14ac:dyDescent="0.25">
      <c r="D408" s="169"/>
      <c r="E408" s="169"/>
      <c r="F408" s="169"/>
      <c r="G408" s="169"/>
      <c r="H408" s="169"/>
      <c r="I408" s="169"/>
      <c r="J408" s="169"/>
      <c r="K408" s="169"/>
      <c r="L408" s="169"/>
    </row>
    <row r="409" spans="4:12" x14ac:dyDescent="0.25">
      <c r="D409" s="169"/>
      <c r="E409" s="169"/>
      <c r="F409" s="169"/>
      <c r="G409" s="169"/>
      <c r="H409" s="169"/>
      <c r="I409" s="169"/>
      <c r="J409" s="169"/>
      <c r="K409" s="169"/>
      <c r="L409" s="169"/>
    </row>
    <row r="410" spans="4:12" x14ac:dyDescent="0.25">
      <c r="D410" s="169"/>
      <c r="E410" s="169"/>
      <c r="F410" s="169"/>
      <c r="G410" s="169"/>
      <c r="H410" s="169"/>
      <c r="I410" s="169"/>
      <c r="J410" s="169"/>
      <c r="K410" s="169"/>
      <c r="L410" s="169"/>
    </row>
    <row r="411" spans="4:12" x14ac:dyDescent="0.25">
      <c r="D411" s="169"/>
      <c r="E411" s="169"/>
      <c r="F411" s="169"/>
      <c r="G411" s="169"/>
      <c r="H411" s="169"/>
      <c r="I411" s="169"/>
      <c r="J411" s="169"/>
      <c r="K411" s="169"/>
      <c r="L411" s="169"/>
    </row>
    <row r="412" spans="4:12" x14ac:dyDescent="0.25">
      <c r="D412" s="169"/>
      <c r="E412" s="169"/>
      <c r="F412" s="169"/>
      <c r="G412" s="169"/>
      <c r="H412" s="169"/>
      <c r="I412" s="169"/>
      <c r="J412" s="169"/>
      <c r="K412" s="169"/>
      <c r="L412" s="169"/>
    </row>
    <row r="413" spans="4:12" x14ac:dyDescent="0.25">
      <c r="D413" s="169"/>
      <c r="E413" s="169"/>
      <c r="F413" s="169"/>
      <c r="G413" s="169"/>
      <c r="H413" s="169"/>
      <c r="I413" s="169"/>
      <c r="J413" s="169"/>
      <c r="K413" s="169"/>
      <c r="L413" s="169"/>
    </row>
    <row r="414" spans="4:12" x14ac:dyDescent="0.25">
      <c r="D414" s="169"/>
      <c r="E414" s="169"/>
      <c r="F414" s="169"/>
      <c r="G414" s="169"/>
      <c r="H414" s="169"/>
      <c r="I414" s="169"/>
      <c r="J414" s="169"/>
      <c r="K414" s="169"/>
      <c r="L414" s="169"/>
    </row>
    <row r="415" spans="4:12" x14ac:dyDescent="0.25">
      <c r="D415" s="169"/>
      <c r="E415" s="169"/>
      <c r="F415" s="169"/>
      <c r="G415" s="169"/>
      <c r="H415" s="169"/>
      <c r="I415" s="169"/>
      <c r="J415" s="169"/>
      <c r="K415" s="169"/>
      <c r="L415" s="169"/>
    </row>
    <row r="416" spans="4:12" x14ac:dyDescent="0.25">
      <c r="D416" s="169"/>
      <c r="E416" s="169"/>
      <c r="F416" s="169"/>
      <c r="G416" s="169"/>
      <c r="H416" s="169"/>
      <c r="I416" s="169"/>
      <c r="J416" s="169"/>
      <c r="K416" s="169"/>
      <c r="L416" s="169"/>
    </row>
    <row r="417" spans="4:12" x14ac:dyDescent="0.25">
      <c r="D417" s="169"/>
      <c r="E417" s="169"/>
      <c r="F417" s="169"/>
      <c r="G417" s="169"/>
      <c r="H417" s="169"/>
      <c r="I417" s="169"/>
      <c r="J417" s="169"/>
      <c r="K417" s="169"/>
      <c r="L417" s="169"/>
    </row>
    <row r="418" spans="4:12" x14ac:dyDescent="0.25">
      <c r="D418" s="169"/>
      <c r="E418" s="169"/>
      <c r="F418" s="169"/>
      <c r="G418" s="169"/>
      <c r="H418" s="169"/>
      <c r="I418" s="169"/>
      <c r="J418" s="169"/>
      <c r="K418" s="169"/>
      <c r="L418" s="169"/>
    </row>
    <row r="419" spans="4:12" x14ac:dyDescent="0.25">
      <c r="D419" s="169"/>
      <c r="E419" s="169"/>
      <c r="F419" s="169"/>
      <c r="G419" s="169"/>
      <c r="H419" s="169"/>
      <c r="I419" s="169"/>
      <c r="J419" s="169"/>
      <c r="K419" s="169"/>
      <c r="L419" s="169"/>
    </row>
    <row r="420" spans="4:12" x14ac:dyDescent="0.25">
      <c r="D420" s="169"/>
      <c r="E420" s="169"/>
      <c r="F420" s="169"/>
      <c r="G420" s="169"/>
      <c r="H420" s="169"/>
      <c r="I420" s="169"/>
      <c r="J420" s="169"/>
      <c r="K420" s="169"/>
      <c r="L420" s="169"/>
    </row>
    <row r="421" spans="4:12" x14ac:dyDescent="0.25">
      <c r="D421" s="169"/>
      <c r="E421" s="169"/>
      <c r="F421" s="169"/>
      <c r="G421" s="169"/>
      <c r="H421" s="169"/>
      <c r="I421" s="169"/>
      <c r="J421" s="169"/>
      <c r="K421" s="169"/>
      <c r="L421" s="169"/>
    </row>
    <row r="422" spans="4:12" x14ac:dyDescent="0.25">
      <c r="D422" s="169"/>
      <c r="E422" s="169"/>
      <c r="F422" s="169"/>
      <c r="G422" s="169"/>
      <c r="H422" s="169"/>
      <c r="I422" s="169"/>
      <c r="J422" s="169"/>
      <c r="K422" s="169"/>
      <c r="L422" s="169"/>
    </row>
    <row r="423" spans="4:12" x14ac:dyDescent="0.25">
      <c r="D423" s="169"/>
      <c r="E423" s="169"/>
      <c r="F423" s="169"/>
      <c r="G423" s="169"/>
      <c r="H423" s="169"/>
      <c r="I423" s="169"/>
      <c r="J423" s="169"/>
      <c r="K423" s="169"/>
      <c r="L423" s="169"/>
    </row>
    <row r="424" spans="4:12" x14ac:dyDescent="0.25">
      <c r="D424" s="169"/>
      <c r="E424" s="169"/>
      <c r="F424" s="169"/>
      <c r="G424" s="169"/>
      <c r="H424" s="169"/>
      <c r="I424" s="169"/>
      <c r="J424" s="169"/>
      <c r="K424" s="169"/>
      <c r="L424" s="169"/>
    </row>
    <row r="425" spans="4:12" x14ac:dyDescent="0.25">
      <c r="D425" s="169"/>
      <c r="E425" s="169"/>
      <c r="F425" s="169"/>
      <c r="G425" s="169"/>
      <c r="H425" s="169"/>
      <c r="I425" s="169"/>
      <c r="J425" s="169"/>
      <c r="K425" s="169"/>
      <c r="L425" s="169"/>
    </row>
    <row r="426" spans="4:12" x14ac:dyDescent="0.25">
      <c r="D426" s="169"/>
      <c r="E426" s="169"/>
      <c r="F426" s="169"/>
      <c r="G426" s="169"/>
      <c r="H426" s="169"/>
      <c r="I426" s="169"/>
      <c r="J426" s="169"/>
      <c r="K426" s="169"/>
      <c r="L426" s="16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63"/>
  <sheetViews>
    <sheetView topLeftCell="A31" workbookViewId="0">
      <selection activeCell="AF6" sqref="AF6"/>
    </sheetView>
  </sheetViews>
  <sheetFormatPr defaultColWidth="9.140625" defaultRowHeight="15" x14ac:dyDescent="0.25"/>
  <cols>
    <col min="1" max="1" width="42.28515625" style="82" customWidth="1"/>
    <col min="2" max="5" width="9.140625" style="82"/>
    <col min="6" max="8" width="10.5703125" style="82" customWidth="1"/>
    <col min="9" max="10" width="10.7109375" style="82" customWidth="1"/>
    <col min="11" max="22" width="10.5703125" style="82" customWidth="1"/>
    <col min="23" max="23" width="10.7109375" style="82" customWidth="1"/>
    <col min="24" max="24" width="10.5703125" style="82" customWidth="1"/>
    <col min="25" max="16384" width="9.140625" style="82"/>
  </cols>
  <sheetData>
    <row r="1" spans="1:32" x14ac:dyDescent="0.25">
      <c r="A1" s="82" t="s">
        <v>50</v>
      </c>
      <c r="B1" s="83"/>
      <c r="C1" s="83"/>
      <c r="D1" s="83"/>
      <c r="E1" s="83"/>
      <c r="F1" s="83"/>
      <c r="G1" s="83"/>
      <c r="H1" s="83"/>
      <c r="I1" s="83"/>
      <c r="J1" s="83"/>
      <c r="K1" s="83"/>
      <c r="L1" s="83"/>
      <c r="M1" s="83"/>
      <c r="N1" s="83"/>
      <c r="O1" s="83"/>
      <c r="P1" s="83"/>
      <c r="Q1" s="83"/>
      <c r="R1" s="83"/>
      <c r="S1" s="83"/>
      <c r="T1" s="83"/>
      <c r="U1" s="83"/>
      <c r="V1" s="83"/>
      <c r="W1" s="83"/>
      <c r="X1" s="83"/>
      <c r="Y1" s="83"/>
    </row>
    <row r="2" spans="1:32" s="87" customFormat="1" x14ac:dyDescent="0.25">
      <c r="A2" s="193" t="s">
        <v>0</v>
      </c>
      <c r="B2" s="84">
        <v>34121</v>
      </c>
      <c r="C2" s="85">
        <v>34486</v>
      </c>
      <c r="D2" s="85">
        <v>34851</v>
      </c>
      <c r="E2" s="85">
        <v>35217</v>
      </c>
      <c r="F2" s="85">
        <v>35582</v>
      </c>
      <c r="G2" s="85">
        <v>35947</v>
      </c>
      <c r="H2" s="85">
        <v>36312</v>
      </c>
      <c r="I2" s="85">
        <v>36678</v>
      </c>
      <c r="J2" s="85">
        <v>37043</v>
      </c>
      <c r="K2" s="85">
        <v>37408</v>
      </c>
      <c r="L2" s="85">
        <v>37773</v>
      </c>
      <c r="M2" s="85">
        <v>38139</v>
      </c>
      <c r="N2" s="85">
        <v>38504</v>
      </c>
      <c r="O2" s="85">
        <v>38869</v>
      </c>
      <c r="P2" s="85">
        <v>39234</v>
      </c>
      <c r="Q2" s="85">
        <v>39600</v>
      </c>
      <c r="R2" s="85">
        <v>39965</v>
      </c>
      <c r="S2" s="85">
        <v>40330</v>
      </c>
      <c r="T2" s="85">
        <v>40695</v>
      </c>
      <c r="U2" s="85">
        <v>41061</v>
      </c>
      <c r="V2" s="85">
        <v>41426</v>
      </c>
      <c r="W2" s="85">
        <v>41791</v>
      </c>
      <c r="X2" s="85">
        <v>42156</v>
      </c>
      <c r="Y2" s="85">
        <v>42522</v>
      </c>
      <c r="Z2" s="85">
        <f t="shared" ref="Z2:AE2" si="0">EDATE(Y2,12)</f>
        <v>42887</v>
      </c>
      <c r="AA2" s="85">
        <f t="shared" si="0"/>
        <v>43252</v>
      </c>
      <c r="AB2" s="85">
        <f t="shared" si="0"/>
        <v>43617</v>
      </c>
      <c r="AC2" s="85">
        <f t="shared" si="0"/>
        <v>43983</v>
      </c>
      <c r="AD2" s="85">
        <f t="shared" si="0"/>
        <v>44348</v>
      </c>
      <c r="AE2" s="85">
        <f t="shared" si="0"/>
        <v>44713</v>
      </c>
    </row>
    <row r="3" spans="1:32" x14ac:dyDescent="0.25">
      <c r="A3" s="194"/>
      <c r="B3" s="88" t="s">
        <v>24</v>
      </c>
      <c r="C3" s="89" t="s">
        <v>24</v>
      </c>
      <c r="D3" s="89" t="s">
        <v>24</v>
      </c>
      <c r="E3" s="89" t="s">
        <v>24</v>
      </c>
      <c r="F3" s="89" t="s">
        <v>24</v>
      </c>
      <c r="G3" s="89" t="s">
        <v>24</v>
      </c>
      <c r="H3" s="89" t="s">
        <v>24</v>
      </c>
      <c r="I3" s="89" t="s">
        <v>24</v>
      </c>
      <c r="J3" s="89" t="s">
        <v>24</v>
      </c>
      <c r="K3" s="89" t="s">
        <v>24</v>
      </c>
      <c r="L3" s="89" t="s">
        <v>24</v>
      </c>
      <c r="M3" s="89" t="s">
        <v>24</v>
      </c>
      <c r="N3" s="89" t="s">
        <v>24</v>
      </c>
      <c r="O3" s="89" t="s">
        <v>24</v>
      </c>
      <c r="P3" s="89" t="s">
        <v>24</v>
      </c>
      <c r="Q3" s="90" t="s">
        <v>24</v>
      </c>
      <c r="R3" s="90" t="s">
        <v>24</v>
      </c>
      <c r="S3" s="90" t="s">
        <v>24</v>
      </c>
      <c r="T3" s="90" t="s">
        <v>24</v>
      </c>
      <c r="U3" s="90" t="s">
        <v>24</v>
      </c>
      <c r="V3" s="90" t="s">
        <v>24</v>
      </c>
      <c r="W3" s="89" t="s">
        <v>24</v>
      </c>
      <c r="X3" s="89" t="s">
        <v>24</v>
      </c>
      <c r="Y3" s="89" t="s">
        <v>24</v>
      </c>
      <c r="Z3" s="89" t="s">
        <v>24</v>
      </c>
      <c r="AA3" s="89" t="s">
        <v>24</v>
      </c>
      <c r="AB3" s="89" t="s">
        <v>24</v>
      </c>
      <c r="AC3" s="89" t="s">
        <v>24</v>
      </c>
      <c r="AD3" s="89" t="s">
        <v>24</v>
      </c>
      <c r="AE3" s="89" t="s">
        <v>24</v>
      </c>
    </row>
    <row r="4" spans="1:32" x14ac:dyDescent="0.25">
      <c r="A4" s="194"/>
      <c r="B4" s="88" t="s">
        <v>51</v>
      </c>
      <c r="C4" s="88" t="s">
        <v>51</v>
      </c>
      <c r="D4" s="88" t="s">
        <v>51</v>
      </c>
      <c r="E4" s="88" t="s">
        <v>51</v>
      </c>
      <c r="F4" s="88" t="s">
        <v>51</v>
      </c>
      <c r="G4" s="88" t="s">
        <v>51</v>
      </c>
      <c r="H4" s="88" t="s">
        <v>51</v>
      </c>
      <c r="I4" s="88" t="s">
        <v>51</v>
      </c>
      <c r="J4" s="88" t="s">
        <v>51</v>
      </c>
      <c r="K4" s="88" t="s">
        <v>51</v>
      </c>
      <c r="L4" s="88" t="s">
        <v>51</v>
      </c>
      <c r="M4" s="88" t="s">
        <v>51</v>
      </c>
      <c r="N4" s="88" t="s">
        <v>51</v>
      </c>
      <c r="O4" s="88" t="s">
        <v>51</v>
      </c>
      <c r="P4" s="88" t="s">
        <v>51</v>
      </c>
      <c r="Q4" s="88" t="s">
        <v>51</v>
      </c>
      <c r="R4" s="88" t="s">
        <v>51</v>
      </c>
      <c r="S4" s="88" t="s">
        <v>51</v>
      </c>
      <c r="T4" s="88" t="s">
        <v>51</v>
      </c>
      <c r="U4" s="88" t="s">
        <v>51</v>
      </c>
      <c r="V4" s="88" t="s">
        <v>51</v>
      </c>
      <c r="W4" s="88" t="s">
        <v>51</v>
      </c>
      <c r="X4" s="88" t="s">
        <v>51</v>
      </c>
      <c r="Y4" s="88" t="s">
        <v>51</v>
      </c>
      <c r="Z4" s="88" t="s">
        <v>51</v>
      </c>
      <c r="AA4" s="88" t="s">
        <v>51</v>
      </c>
      <c r="AB4" s="88" t="s">
        <v>51</v>
      </c>
      <c r="AC4" s="88" t="s">
        <v>51</v>
      </c>
      <c r="AD4" s="88" t="s">
        <v>51</v>
      </c>
      <c r="AE4" s="88" t="s">
        <v>51</v>
      </c>
    </row>
    <row r="5" spans="1:32" s="94" customFormat="1" ht="15.75" customHeight="1" x14ac:dyDescent="0.25">
      <c r="A5" s="91" t="s">
        <v>26</v>
      </c>
      <c r="B5" s="92"/>
      <c r="C5" s="93"/>
      <c r="D5" s="93"/>
      <c r="E5" s="93"/>
      <c r="F5" s="93"/>
      <c r="G5" s="93"/>
      <c r="H5" s="93"/>
      <c r="I5" s="93"/>
      <c r="J5" s="93"/>
      <c r="K5" s="93"/>
      <c r="L5" s="93"/>
      <c r="M5" s="93"/>
      <c r="N5" s="93"/>
      <c r="O5" s="93"/>
      <c r="P5" s="93"/>
      <c r="Q5" s="93"/>
      <c r="R5" s="93"/>
      <c r="S5" s="93"/>
      <c r="T5" s="93"/>
      <c r="U5" s="93"/>
      <c r="V5" s="93"/>
      <c r="W5" s="93"/>
      <c r="X5" s="93"/>
      <c r="Y5" s="93"/>
    </row>
    <row r="6" spans="1:32" s="97" customFormat="1" x14ac:dyDescent="0.25">
      <c r="A6" s="95" t="str">
        <f>+'Aggregated expenditure (Core)'!B6</f>
        <v>Core govt services</v>
      </c>
      <c r="B6" s="96">
        <f>IFERROR('Aggregated expenditure (Core)'!C6*1000000/Population!D$2,0)</f>
        <v>409.83147640109735</v>
      </c>
      <c r="C6" s="96">
        <f>IFERROR('Aggregated expenditure (Core)'!D6*1000000/Population!E$2,0)</f>
        <v>475.96685082872926</v>
      </c>
      <c r="D6" s="96">
        <f>IFERROR('Aggregated expenditure (Core)'!E6*1000000/Population!F$2,0)</f>
        <v>364.7846681548429</v>
      </c>
      <c r="E6" s="96">
        <f>IFERROR('Aggregated expenditure (Core)'!F6*1000000/Population!G$2,0)</f>
        <v>419.34619506966771</v>
      </c>
      <c r="F6" s="96">
        <f>IFERROR('Aggregated expenditure (Core)'!G6*1000000/Population!H$2,0)</f>
        <v>440.85367466215325</v>
      </c>
      <c r="G6" s="96">
        <f>IFERROR('Aggregated expenditure (Core)'!H6*1000000/Population!I$2,0)</f>
        <v>409.43643512450853</v>
      </c>
      <c r="H6" s="96">
        <f>IFERROR('Aggregated expenditure (Core)'!I6*1000000/Population!J$2,0)</f>
        <v>444.57771635680945</v>
      </c>
      <c r="I6" s="96">
        <f>IFERROR('Aggregated expenditure (Core)'!J6*1000000/Population!K$2,0)</f>
        <v>443.26930554475467</v>
      </c>
      <c r="J6" s="96">
        <f>IFERROR('Aggregated expenditure (Core)'!K6*1000000/Population!L$2,0)</f>
        <v>463.34235278958897</v>
      </c>
      <c r="K6" s="96">
        <f>IFERROR('Aggregated expenditure (Core)'!L6*1000000/Population!M$2,0)</f>
        <v>390.02152716221349</v>
      </c>
      <c r="L6" s="96">
        <f>IFERROR('Aggregated expenditure (Core)'!M6*1000000/Population!N$2,0)</f>
        <v>528.90345649582832</v>
      </c>
      <c r="M6" s="96">
        <f>IFERROR('Aggregated expenditure (Core)'!N6*1000000/Population!O$2,0)</f>
        <v>511.55963302752292</v>
      </c>
      <c r="N6" s="96">
        <f>IFERROR('Aggregated expenditure (Core)'!O6*1000000/Population!P$2,0)</f>
        <v>620.9632550376158</v>
      </c>
      <c r="O6" s="96">
        <f>IFERROR('Aggregated expenditure (Core)'!P6*1000000/Population!Q$2,0)</f>
        <v>599.09717227090562</v>
      </c>
      <c r="P6" s="96">
        <f>IFERROR('Aggregated expenditure (Core)'!Q6*1000000/Population!R$2,0)</f>
        <v>1140.1893055167548</v>
      </c>
      <c r="Q6" s="96">
        <f>IFERROR('Aggregated expenditure (Core)'!R6*1000000/Population!S$2,0)</f>
        <v>791.36099536357767</v>
      </c>
      <c r="R6" s="96">
        <f>IFERROR('Aggregated expenditure (Core)'!S6*1000000/Population!T$2,0)</f>
        <v>1230.1892580980293</v>
      </c>
      <c r="S6" s="96">
        <f>IFERROR('Aggregated expenditure (Core)'!T6*1000000/Population!U$2,0)</f>
        <v>683.57287498247399</v>
      </c>
      <c r="T6" s="96">
        <f>IFERROR('Aggregated expenditure (Core)'!U6*1000000/Population!V$2,0)</f>
        <v>1268.9411651995795</v>
      </c>
      <c r="U6" s="96">
        <f>IFERROR('Aggregated expenditure (Core)'!V6*1000000/Population!W$2,0)</f>
        <v>1231.4030462933135</v>
      </c>
      <c r="V6" s="96">
        <f>IFERROR('Aggregated expenditure (Core)'!W6*1000000/Population!X$2,0)</f>
        <v>966.65991310416246</v>
      </c>
      <c r="W6" s="96">
        <f>IFERROR('Aggregated expenditure (Core)'!X6*1000000/Population!Y$2,0)</f>
        <v>998.29478301169263</v>
      </c>
      <c r="X6" s="96">
        <f>IFERROR('Aggregated expenditure (Core)'!Y6*1000000/Population!Z$2,0)</f>
        <v>899.52673665886959</v>
      </c>
      <c r="Y6" s="96">
        <f>IFERROR('Aggregated expenditure (Core)'!Z6*1000000/Population!AA$2,0)</f>
        <v>874.06776049435325</v>
      </c>
      <c r="Z6" s="96">
        <f>IFERROR('Aggregated expenditure (Core)'!AA6*1000000/Population!AB$2,0)</f>
        <v>825.42397630321864</v>
      </c>
      <c r="AA6" s="96">
        <f>IFERROR('Aggregated expenditure (Core)'!AB6*1000000/Population!AC$2,0)</f>
        <v>1098.5034479435865</v>
      </c>
      <c r="AB6" s="96">
        <f>IFERROR('Aggregated expenditure (Core)'!AC6*1000000/Population!AD$2,0)</f>
        <v>992.95053517291331</v>
      </c>
      <c r="AC6" s="96">
        <f>IFERROR('Aggregated expenditure (Core)'!AD6*1000000/Population!AE$2,0)</f>
        <v>1004.2225479685825</v>
      </c>
      <c r="AD6" s="96">
        <f>IFERROR('Aggregated expenditure (Core)'!AE6*1000000/Population!AF$2,0)</f>
        <v>985.42440562537013</v>
      </c>
      <c r="AE6" s="96">
        <f>IFERROR('Aggregated expenditure (Core)'!AF6*1000000/Population!AG$2,0)</f>
        <v>1004.68060217837</v>
      </c>
      <c r="AF6" s="96"/>
    </row>
    <row r="7" spans="1:32" s="98" customFormat="1" x14ac:dyDescent="0.25">
      <c r="A7" s="95" t="str">
        <f>+'Aggregated expenditure (Core)'!B7</f>
        <v>Defence</v>
      </c>
      <c r="B7" s="96">
        <f>IFERROR('Aggregated expenditure (Core)'!C7*1000000/Population!D$2,0)</f>
        <v>328.36907228038746</v>
      </c>
      <c r="C7" s="96">
        <f>IFERROR('Aggregated expenditure (Core)'!D7*1000000/Population!E$2,0)</f>
        <v>289.77900552486187</v>
      </c>
      <c r="D7" s="96">
        <f>IFERROR('Aggregated expenditure (Core)'!E7*1000000/Population!F$2,0)</f>
        <v>275.76632003048945</v>
      </c>
      <c r="E7" s="96">
        <f>IFERROR('Aggregated expenditure (Core)'!F7*1000000/Population!G$2,0)</f>
        <v>259.91425509110394</v>
      </c>
      <c r="F7" s="96">
        <f>IFERROR('Aggregated expenditure (Core)'!G7*1000000/Population!H$2,0)</f>
        <v>250.17851003623093</v>
      </c>
      <c r="G7" s="96">
        <f>IFERROR('Aggregated expenditure (Core)'!H7*1000000/Population!I$2,0)</f>
        <v>279.16120576671034</v>
      </c>
      <c r="H7" s="96">
        <f>IFERROR('Aggregated expenditure (Core)'!I7*1000000/Population!J$2,0)</f>
        <v>268.5718755703893</v>
      </c>
      <c r="I7" s="96">
        <f>IFERROR('Aggregated expenditure (Core)'!J7*1000000/Population!K$2,0)</f>
        <v>323.24960468673044</v>
      </c>
      <c r="J7" s="96">
        <f>IFERROR('Aggregated expenditure (Core)'!K7*1000000/Population!L$2,0)</f>
        <v>320.06184770003864</v>
      </c>
      <c r="K7" s="96">
        <f>IFERROR('Aggregated expenditure (Core)'!L7*1000000/Population!M$2,0)</f>
        <v>294.28897049512472</v>
      </c>
      <c r="L7" s="96">
        <f>IFERROR('Aggregated expenditure (Core)'!M7*1000000/Population!N$2,0)</f>
        <v>297.72546682558601</v>
      </c>
      <c r="M7" s="96">
        <f>IFERROR('Aggregated expenditure (Core)'!N7*1000000/Population!O$2,0)</f>
        <v>320.73394495412845</v>
      </c>
      <c r="N7" s="96">
        <f>IFERROR('Aggregated expenditure (Core)'!O7*1000000/Population!P$2,0)</f>
        <v>308.42545780014029</v>
      </c>
      <c r="O7" s="96">
        <f>IFERROR('Aggregated expenditure (Core)'!P7*1000000/Population!Q$2,0)</f>
        <v>330.49516922643102</v>
      </c>
      <c r="P7" s="96">
        <f>IFERROR('Aggregated expenditure (Core)'!Q7*1000000/Population!R$2,0)</f>
        <v>359.15016122693459</v>
      </c>
      <c r="Q7" s="96">
        <f>IFERROR('Aggregated expenditure (Core)'!R7*1000000/Population!S$2,0)</f>
        <v>366.68818592640412</v>
      </c>
      <c r="R7" s="96">
        <f>IFERROR('Aggregated expenditure (Core)'!S7*1000000/Population!T$2,0)</f>
        <v>408.35868627965948</v>
      </c>
      <c r="S7" s="96">
        <f>IFERROR('Aggregated expenditure (Core)'!T7*1000000/Population!U$2,0)</f>
        <v>416.94727478756147</v>
      </c>
      <c r="T7" s="96">
        <f>IFERROR('Aggregated expenditure (Core)'!U7*1000000/Population!V$2,0)</f>
        <v>412.63968503434103</v>
      </c>
      <c r="U7" s="96">
        <f>IFERROR('Aggregated expenditure (Core)'!V7*1000000/Population!W$2,0)</f>
        <v>393.83118798179663</v>
      </c>
      <c r="V7" s="96">
        <f>IFERROR('Aggregated expenditure (Core)'!W7*1000000/Population!X$2,0)</f>
        <v>406.11422525382142</v>
      </c>
      <c r="W7" s="96">
        <f>IFERROR('Aggregated expenditure (Core)'!X7*1000000/Population!Y$2,0)</f>
        <v>401.57970947005225</v>
      </c>
      <c r="X7" s="96">
        <f>IFERROR('Aggregated expenditure (Core)'!Y7*1000000/Population!Z$2,0)</f>
        <v>426.69858020997663</v>
      </c>
      <c r="Y7" s="96">
        <f>IFERROR('Aggregated expenditure (Core)'!Z7*1000000/Population!AA$2,0)</f>
        <v>431.70679735776685</v>
      </c>
      <c r="Z7" s="96">
        <f>IFERROR('Aggregated expenditure (Core)'!AA7*1000000/Population!AB$2,0)</f>
        <v>447.65222470222574</v>
      </c>
      <c r="AA7" s="96">
        <f>IFERROR('Aggregated expenditure (Core)'!AB7*1000000/Population!AC$2,0)</f>
        <v>464.37295811724954</v>
      </c>
      <c r="AB7" s="96">
        <f>IFERROR('Aggregated expenditure (Core)'!AC7*1000000/Population!AD$2,0)</f>
        <v>494.45871491551247</v>
      </c>
      <c r="AC7" s="96">
        <f>IFERROR('Aggregated expenditure (Core)'!AD7*1000000/Population!AE$2,0)</f>
        <v>506.98420969932994</v>
      </c>
      <c r="AD7" s="96">
        <f>IFERROR('Aggregated expenditure (Core)'!AE7*1000000/Population!AF$2,0)</f>
        <v>519.24437169170881</v>
      </c>
      <c r="AE7" s="96">
        <f>IFERROR('Aggregated expenditure (Core)'!AF7*1000000/Population!AG$2,0)</f>
        <v>530.24269443398782</v>
      </c>
    </row>
    <row r="8" spans="1:32" s="98" customFormat="1" x14ac:dyDescent="0.25">
      <c r="A8" s="95" t="str">
        <f>+'Aggregated expenditure (Core)'!B8</f>
        <v>Education</v>
      </c>
      <c r="B8" s="96">
        <f>IFERROR('Aggregated expenditure (Core)'!C8*1000000/Population!D$2,0)</f>
        <v>1270.6455405632382</v>
      </c>
      <c r="C8" s="96">
        <f>IFERROR('Aggregated expenditure (Core)'!D8*1000000/Population!E$2,0)</f>
        <v>1278.1767955801106</v>
      </c>
      <c r="D8" s="96">
        <f>IFERROR('Aggregated expenditure (Core)'!E8*1000000/Population!F$2,0)</f>
        <v>1307.5080307072467</v>
      </c>
      <c r="E8" s="96">
        <f>IFERROR('Aggregated expenditure (Core)'!F8*1000000/Population!G$2,0)</f>
        <v>1326.0986066452303</v>
      </c>
      <c r="F8" s="96">
        <f>IFERROR('Aggregated expenditure (Core)'!G8*1000000/Population!H$2,0)</f>
        <v>1410.8904345066512</v>
      </c>
      <c r="G8" s="96">
        <f>IFERROR('Aggregated expenditure (Core)'!H8*1000000/Population!I$2,0)</f>
        <v>1497.7719528178243</v>
      </c>
      <c r="H8" s="96">
        <f>IFERROR('Aggregated expenditure (Core)'!I8*1000000/Population!J$2,0)</f>
        <v>1538.1606737764334</v>
      </c>
      <c r="I8" s="96">
        <f>IFERROR('Aggregated expenditure (Core)'!J8*1000000/Population!K$2,0)</f>
        <v>1635.6896596417555</v>
      </c>
      <c r="J8" s="96">
        <f>IFERROR('Aggregated expenditure (Core)'!K8*1000000/Population!L$2,0)</f>
        <v>1581.2395309882747</v>
      </c>
      <c r="K8" s="96">
        <f>IFERROR('Aggregated expenditure (Core)'!L8*1000000/Population!M$2,0)</f>
        <v>1639.3567177409143</v>
      </c>
      <c r="L8" s="96">
        <f>IFERROR('Aggregated expenditure (Core)'!M8*1000000/Population!N$2,0)</f>
        <v>1742.1533571712357</v>
      </c>
      <c r="M8" s="96">
        <f>IFERROR('Aggregated expenditure (Core)'!N8*1000000/Population!O$2,0)</f>
        <v>1855.65749235474</v>
      </c>
      <c r="N8" s="96">
        <f>IFERROR('Aggregated expenditure (Core)'!O8*1000000/Population!P$2,0)</f>
        <v>1918.285396356951</v>
      </c>
      <c r="O8" s="96">
        <f>IFERROR('Aggregated expenditure (Core)'!P8*1000000/Population!Q$2,0)</f>
        <v>2369.1461371734181</v>
      </c>
      <c r="P8" s="96">
        <f>IFERROR('Aggregated expenditure (Core)'!Q8*1000000/Population!R$2,0)</f>
        <v>2194.4382626318106</v>
      </c>
      <c r="Q8" s="96">
        <f>IFERROR('Aggregated expenditure (Core)'!R8*1000000/Population!S$2,0)</f>
        <v>2242.1503609366746</v>
      </c>
      <c r="R8" s="96">
        <f>IFERROR('Aggregated expenditure (Core)'!S8*1000000/Population!T$2,0)</f>
        <v>2662.3498869285709</v>
      </c>
      <c r="S8" s="96">
        <f>IFERROR('Aggregated expenditure (Core)'!T8*1000000/Population!U$2,0)</f>
        <v>2694.7573592113399</v>
      </c>
      <c r="T8" s="96">
        <f>IFERROR('Aggregated expenditure (Core)'!U8*1000000/Population!V$2,0)</f>
        <v>2657.4086957711847</v>
      </c>
      <c r="U8" s="96">
        <f>IFERROR('Aggregated expenditure (Core)'!V8*1000000/Population!W$2,0)</f>
        <v>2643.8413967395495</v>
      </c>
      <c r="V8" s="96">
        <f>IFERROR('Aggregated expenditure (Core)'!W8*1000000/Population!X$2,0)</f>
        <v>2814.8848517593028</v>
      </c>
      <c r="W8" s="96">
        <f>IFERROR('Aggregated expenditure (Core)'!X8*1000000/Population!Y$2,0)</f>
        <v>2727.4602023642424</v>
      </c>
      <c r="X8" s="96">
        <f>IFERROR('Aggregated expenditure (Core)'!Y8*1000000/Population!Z$2,0)</f>
        <v>2802.3717565141706</v>
      </c>
      <c r="Y8" s="96">
        <f>IFERROR('Aggregated expenditure (Core)'!Z8*1000000/Population!AA$2,0)</f>
        <v>2803.7502663541445</v>
      </c>
      <c r="Z8" s="96">
        <f>IFERROR('Aggregated expenditure (Core)'!AA8*1000000/Population!AB$2,0)</f>
        <v>2770.3957112163375</v>
      </c>
      <c r="AA8" s="96">
        <f>IFERROR('Aggregated expenditure (Core)'!AB8*1000000/Population!AC$2,0)</f>
        <v>2879.9324250211939</v>
      </c>
      <c r="AB8" s="96">
        <f>IFERROR('Aggregated expenditure (Core)'!AC8*1000000/Population!AD$2,0)</f>
        <v>3069.5964757112279</v>
      </c>
      <c r="AC8" s="96">
        <f>IFERROR('Aggregated expenditure (Core)'!AD8*1000000/Population!AE$2,0)</f>
        <v>3175.1651328521393</v>
      </c>
      <c r="AD8" s="96">
        <f>IFERROR('Aggregated expenditure (Core)'!AE8*1000000/Population!AF$2,0)</f>
        <v>3300.2087393819734</v>
      </c>
      <c r="AE8" s="96">
        <f>IFERROR('Aggregated expenditure (Core)'!AF8*1000000/Population!AG$2,0)</f>
        <v>3376.675699134812</v>
      </c>
    </row>
    <row r="9" spans="1:32" s="98" customFormat="1" x14ac:dyDescent="0.25">
      <c r="A9" s="95" t="str">
        <f>+'Aggregated expenditure (Core)'!B9</f>
        <v>Finance costs</v>
      </c>
      <c r="B9" s="96">
        <f>IFERROR('Aggregated expenditure (Core)'!C9*1000000/Population!D$2,0)</f>
        <v>1108.8404904540619</v>
      </c>
      <c r="C9" s="96">
        <f>IFERROR('Aggregated expenditure (Core)'!D9*1000000/Population!E$2,0)</f>
        <v>1046.4088397790056</v>
      </c>
      <c r="D9" s="96">
        <f>IFERROR('Aggregated expenditure (Core)'!E9*1000000/Population!F$2,0)</f>
        <v>1022.7582076550335</v>
      </c>
      <c r="E9" s="96">
        <f>IFERROR('Aggregated expenditure (Core)'!F9*1000000/Population!G$2,0)</f>
        <v>992.2293676312969</v>
      </c>
      <c r="F9" s="96">
        <f>IFERROR('Aggregated expenditure (Core)'!G9*1000000/Population!H$2,0)</f>
        <v>812.41900933541376</v>
      </c>
      <c r="G9" s="96">
        <f>IFERROR('Aggregated expenditure (Core)'!H9*1000000/Population!I$2,0)</f>
        <v>734.99344692005241</v>
      </c>
      <c r="H9" s="96">
        <f>IFERROR('Aggregated expenditure (Core)'!I9*1000000/Population!J$2,0)</f>
        <v>656.04547469427132</v>
      </c>
      <c r="I9" s="96">
        <f>IFERROR('Aggregated expenditure (Core)'!J9*1000000/Population!K$2,0)</f>
        <v>615.13336962438757</v>
      </c>
      <c r="J9" s="96">
        <f>IFERROR('Aggregated expenditure (Core)'!K9*1000000/Population!L$2,0)</f>
        <v>593.73792037108615</v>
      </c>
      <c r="K9" s="96">
        <f>IFERROR('Aggregated expenditure (Core)'!L9*1000000/Population!M$2,0)</f>
        <v>536.40623021400529</v>
      </c>
      <c r="L9" s="96">
        <f>IFERROR('Aggregated expenditure (Core)'!M9*1000000/Population!N$2,0)</f>
        <v>586.01509733810087</v>
      </c>
      <c r="M9" s="96">
        <f>IFERROR('Aggregated expenditure (Core)'!N9*1000000/Population!O$2,0)</f>
        <v>550.94801223241586</v>
      </c>
      <c r="N9" s="96">
        <f>IFERROR('Aggregated expenditure (Core)'!O9*1000000/Population!P$2,0)</f>
        <v>550.08587532354431</v>
      </c>
      <c r="O9" s="96">
        <f>IFERROR('Aggregated expenditure (Core)'!P9*1000000/Population!Q$2,0)</f>
        <v>563.01273947756431</v>
      </c>
      <c r="P9" s="96">
        <f>IFERROR('Aggregated expenditure (Core)'!Q9*1000000/Population!R$2,0)</f>
        <v>551.39138134313168</v>
      </c>
      <c r="Q9" s="96">
        <f>IFERROR('Aggregated expenditure (Core)'!R9*1000000/Population!S$2,0)</f>
        <v>577.49867949997065</v>
      </c>
      <c r="R9" s="96">
        <f>IFERROR('Aggregated expenditure (Core)'!S9*1000000/Population!T$2,0)</f>
        <v>564.54368182885196</v>
      </c>
      <c r="S9" s="96">
        <f>IFERROR('Aggregated expenditure (Core)'!T9*1000000/Population!U$2,0)</f>
        <v>531.18255349176104</v>
      </c>
      <c r="T9" s="96">
        <f>IFERROR('Aggregated expenditure (Core)'!U9*1000000/Population!V$2,0)</f>
        <v>699.36609967677703</v>
      </c>
      <c r="U9" s="96">
        <f>IFERROR('Aggregated expenditure (Core)'!V9*1000000/Population!W$2,0)</f>
        <v>796.50996601617976</v>
      </c>
      <c r="V9" s="96">
        <f>IFERROR('Aggregated expenditure (Core)'!W9*1000000/Population!X$2,0)</f>
        <v>814.70475675919045</v>
      </c>
      <c r="W9" s="96">
        <f>IFERROR('Aggregated expenditure (Core)'!X9*1000000/Population!Y$2,0)</f>
        <v>802.71592947630552</v>
      </c>
      <c r="X9" s="96">
        <f>IFERROR('Aggregated expenditure (Core)'!Y9*1000000/Population!Z$2,0)</f>
        <v>823.15182505575808</v>
      </c>
      <c r="Y9" s="96">
        <f>IFERROR('Aggregated expenditure (Core)'!Z9*1000000/Population!AA$2,0)</f>
        <v>764.96910291924144</v>
      </c>
      <c r="Z9" s="96">
        <f>IFERROR('Aggregated expenditure (Core)'!AA9*1000000/Population!AB$2,0)</f>
        <v>737.18684161121428</v>
      </c>
      <c r="AA9" s="96">
        <f>IFERROR('Aggregated expenditure (Core)'!AB9*1000000/Population!AC$2,0)</f>
        <v>720.23938272225064</v>
      </c>
      <c r="AB9" s="96">
        <f>IFERROR('Aggregated expenditure (Core)'!AC9*1000000/Population!AD$2,0)</f>
        <v>697.72722414668567</v>
      </c>
      <c r="AC9" s="96">
        <f>IFERROR('Aggregated expenditure (Core)'!AD9*1000000/Population!AE$2,0)</f>
        <v>686.58669748218392</v>
      </c>
      <c r="AD9" s="96">
        <f>IFERROR('Aggregated expenditure (Core)'!AE9*1000000/Population!AF$2,0)</f>
        <v>689.44332168603876</v>
      </c>
      <c r="AE9" s="96">
        <f>IFERROR('Aggregated expenditure (Core)'!AF9*1000000/Population!AG$2,0)</f>
        <v>642.43559310960609</v>
      </c>
    </row>
    <row r="10" spans="1:32" s="98" customFormat="1" x14ac:dyDescent="0.25">
      <c r="A10" s="95" t="str">
        <f>+'Aggregated expenditure (Core)'!B10</f>
        <v>Health</v>
      </c>
      <c r="B10" s="96">
        <f>IFERROR('Aggregated expenditure (Core)'!C10*1000000/Population!D$2,0)</f>
        <v>1166.7879737976598</v>
      </c>
      <c r="C10" s="96">
        <f>IFERROR('Aggregated expenditure (Core)'!D10*1000000/Population!E$2,0)</f>
        <v>1271.2707182320441</v>
      </c>
      <c r="D10" s="96">
        <f>IFERROR('Aggregated expenditure (Core)'!E10*1000000/Population!F$2,0)</f>
        <v>1330.1029019437033</v>
      </c>
      <c r="E10" s="96">
        <f>IFERROR('Aggregated expenditure (Core)'!F10*1000000/Population!G$2,0)</f>
        <v>1400.8574490889603</v>
      </c>
      <c r="F10" s="96">
        <f>IFERROR('Aggregated expenditure (Core)'!G10*1000000/Population!H$2,0)</f>
        <v>1487.8480945706503</v>
      </c>
      <c r="G10" s="96">
        <f>IFERROR('Aggregated expenditure (Core)'!H10*1000000/Population!I$2,0)</f>
        <v>1573.0013106159895</v>
      </c>
      <c r="H10" s="96">
        <f>IFERROR('Aggregated expenditure (Core)'!I10*1000000/Population!J$2,0)</f>
        <v>1713.905765169096</v>
      </c>
      <c r="I10" s="96">
        <f>IFERROR('Aggregated expenditure (Core)'!J10*1000000/Population!K$2,0)</f>
        <v>1781.890763926692</v>
      </c>
      <c r="J10" s="96">
        <f>IFERROR('Aggregated expenditure (Core)'!K10*1000000/Population!L$2,0)</f>
        <v>1716.2736760726712</v>
      </c>
      <c r="K10" s="96">
        <f>IFERROR('Aggregated expenditure (Core)'!L10*1000000/Population!M$2,0)</f>
        <v>1780.9294668861594</v>
      </c>
      <c r="L10" s="96">
        <f>IFERROR('Aggregated expenditure (Core)'!M10*1000000/Population!N$2,0)</f>
        <v>1862.5844259038538</v>
      </c>
      <c r="M10" s="96">
        <f>IFERROR('Aggregated expenditure (Core)'!N10*1000000/Population!O$2,0)</f>
        <v>1984.34250764526</v>
      </c>
      <c r="N10" s="96">
        <f>IFERROR('Aggregated expenditure (Core)'!O10*1000000/Population!P$2,0)</f>
        <v>2131.8851447785382</v>
      </c>
      <c r="O10" s="96">
        <f>IFERROR('Aggregated expenditure (Core)'!P10*1000000/Population!Q$2,0)</f>
        <v>2281.4442376028464</v>
      </c>
      <c r="P10" s="96">
        <f>IFERROR('Aggregated expenditure (Core)'!Q10*1000000/Population!R$2,0)</f>
        <v>2451.5490570236702</v>
      </c>
      <c r="Q10" s="96">
        <f>IFERROR('Aggregated expenditure (Core)'!R10*1000000/Population!S$2,0)</f>
        <v>2652.0335700451906</v>
      </c>
      <c r="R10" s="96">
        <f>IFERROR('Aggregated expenditure (Core)'!S10*1000000/Population!T$2,0)</f>
        <v>2874.5476561791852</v>
      </c>
      <c r="S10" s="96">
        <f>IFERROR('Aggregated expenditure (Core)'!T10*1000000/Population!U$2,0)</f>
        <v>3017.4662753093203</v>
      </c>
      <c r="T10" s="96">
        <f>IFERROR('Aggregated expenditure (Core)'!U10*1000000/Population!V$2,0)</f>
        <v>3137.1108835142577</v>
      </c>
      <c r="U10" s="96">
        <f>IFERROR('Aggregated expenditure (Core)'!V10*1000000/Population!W$2,0)</f>
        <v>3212.3557729390786</v>
      </c>
      <c r="V10" s="96">
        <f>IFERROR('Aggregated expenditure (Core)'!W10*1000000/Population!X$2,0)</f>
        <v>3263.7716395398575</v>
      </c>
      <c r="W10" s="96">
        <f>IFERROR('Aggregated expenditure (Core)'!X10*1000000/Population!Y$2,0)</f>
        <v>3303.5530158392262</v>
      </c>
      <c r="X10" s="96">
        <f>IFERROR('Aggregated expenditure (Core)'!Y10*1000000/Population!Z$2,0)</f>
        <v>3276.5054670075615</v>
      </c>
      <c r="Y10" s="96">
        <f>IFERROR('Aggregated expenditure (Core)'!Z10*1000000/Population!AA$2,0)</f>
        <v>3329.639889196676</v>
      </c>
      <c r="Z10" s="96">
        <f>IFERROR('Aggregated expenditure (Core)'!AA10*1000000/Population!AB$2,0)</f>
        <v>3384.0922839441787</v>
      </c>
      <c r="AA10" s="96">
        <f>IFERROR('Aggregated expenditure (Core)'!AB10*1000000/Population!AC$2,0)</f>
        <v>3439.435207671072</v>
      </c>
      <c r="AB10" s="96">
        <f>IFERROR('Aggregated expenditure (Core)'!AC10*1000000/Population!AD$2,0)</f>
        <v>3615.4772837358169</v>
      </c>
      <c r="AC10" s="96">
        <f>IFERROR('Aggregated expenditure (Core)'!AD10*1000000/Population!AE$2,0)</f>
        <v>3701.4421900763164</v>
      </c>
      <c r="AD10" s="96">
        <f>IFERROR('Aggregated expenditure (Core)'!AE10*1000000/Population!AF$2,0)</f>
        <v>3774.2501566871974</v>
      </c>
      <c r="AE10" s="96">
        <f>IFERROR('Aggregated expenditure (Core)'!AF10*1000000/Population!AG$2,0)</f>
        <v>3874.057735204537</v>
      </c>
    </row>
    <row r="11" spans="1:32" s="98" customFormat="1" x14ac:dyDescent="0.25">
      <c r="A11" s="95" t="str">
        <f>+'Aggregated expenditure (Core)'!B11</f>
        <v>Law and order</v>
      </c>
      <c r="B11" s="96">
        <f>IFERROR('Aggregated expenditure (Core)'!C11*1000000/Population!D$2,0)</f>
        <v>295.05626784614526</v>
      </c>
      <c r="C11" s="96">
        <f>IFERROR('Aggregated expenditure (Core)'!D11*1000000/Population!E$2,0)</f>
        <v>317.67955801104972</v>
      </c>
      <c r="D11" s="96">
        <f>IFERROR('Aggregated expenditure (Core)'!E11*1000000/Population!F$2,0)</f>
        <v>323.95056351064409</v>
      </c>
      <c r="E11" s="96">
        <f>IFERROR('Aggregated expenditure (Core)'!F11*1000000/Population!G$2,0)</f>
        <v>330.65380493033229</v>
      </c>
      <c r="F11" s="96">
        <f>IFERROR('Aggregated expenditure (Core)'!G11*1000000/Population!H$2,0)</f>
        <v>338.77237986935711</v>
      </c>
      <c r="G11" s="96">
        <f>IFERROR('Aggregated expenditure (Core)'!H11*1000000/Population!I$2,0)</f>
        <v>352.55570117955438</v>
      </c>
      <c r="H11" s="96">
        <f>IFERROR('Aggregated expenditure (Core)'!I11*1000000/Population!J$2,0)</f>
        <v>390.86334124273162</v>
      </c>
      <c r="I11" s="96">
        <f>IFERROR('Aggregated expenditure (Core)'!J11*1000000/Population!K$2,0)</f>
        <v>396.86860046141481</v>
      </c>
      <c r="J11" s="96">
        <f>IFERROR('Aggregated expenditure (Core)'!K11*1000000/Population!L$2,0)</f>
        <v>397.11377399819611</v>
      </c>
      <c r="K11" s="96">
        <f>IFERROR('Aggregated expenditure (Core)'!L11*1000000/Population!M$2,0)</f>
        <v>438.90084842345192</v>
      </c>
      <c r="L11" s="96">
        <f>IFERROR('Aggregated expenditure (Core)'!M11*1000000/Population!N$2,0)</f>
        <v>430.57210965435041</v>
      </c>
      <c r="M11" s="96">
        <f>IFERROR('Aggregated expenditure (Core)'!N11*1000000/Population!O$2,0)</f>
        <v>450.8868501529052</v>
      </c>
      <c r="N11" s="96">
        <f>IFERROR('Aggregated expenditure (Core)'!O11*1000000/Population!P$2,0)</f>
        <v>478.2408863300999</v>
      </c>
      <c r="O11" s="96">
        <f>IFERROR('Aggregated expenditure (Core)'!P11*1000000/Population!Q$2,0)</f>
        <v>534.09739929217164</v>
      </c>
      <c r="P11" s="96">
        <f>IFERROR('Aggregated expenditure (Core)'!Q11*1000000/Population!R$2,0)</f>
        <v>638.98898164238403</v>
      </c>
      <c r="Q11" s="96">
        <f>IFERROR('Aggregated expenditure (Core)'!R11*1000000/Population!S$2,0)</f>
        <v>679.38259287516871</v>
      </c>
      <c r="R11" s="96">
        <f>IFERROR('Aggregated expenditure (Core)'!S11*1000000/Population!T$2,0)</f>
        <v>717.9396596003802</v>
      </c>
      <c r="S11" s="96">
        <f>IFERROR('Aggregated expenditure (Core)'!T11*1000000/Population!U$2,0)</f>
        <v>733.45025019134982</v>
      </c>
      <c r="T11" s="96">
        <f>IFERROR('Aggregated expenditure (Core)'!U11*1000000/Population!V$2,0)</f>
        <v>771.44688490112844</v>
      </c>
      <c r="U11" s="96">
        <f>IFERROR('Aggregated expenditure (Core)'!V11*1000000/Population!W$2,0)</f>
        <v>772.00894740901731</v>
      </c>
      <c r="V11" s="96">
        <f>IFERROR('Aggregated expenditure (Core)'!W11*1000000/Population!X$2,0)</f>
        <v>778.01040048625646</v>
      </c>
      <c r="W11" s="96">
        <f>IFERROR('Aggregated expenditure (Core)'!X11*1000000/Population!Y$2,0)</f>
        <v>776.32830638026121</v>
      </c>
      <c r="X11" s="96">
        <f>IFERROR('Aggregated expenditure (Core)'!Y11*1000000/Population!Z$2,0)</f>
        <v>764.83707773486378</v>
      </c>
      <c r="Y11" s="96">
        <f>IFERROR('Aggregated expenditure (Core)'!Z11*1000000/Population!AA$2,0)</f>
        <v>777.32793522267207</v>
      </c>
      <c r="Z11" s="96">
        <f>IFERROR('Aggregated expenditure (Core)'!AA11*1000000/Population!AB$2,0)</f>
        <v>809.77909426562928</v>
      </c>
      <c r="AA11" s="96">
        <f>IFERROR('Aggregated expenditure (Core)'!AB11*1000000/Population!AC$2,0)</f>
        <v>830.54077409844501</v>
      </c>
      <c r="AB11" s="96">
        <f>IFERROR('Aggregated expenditure (Core)'!AC11*1000000/Population!AD$2,0)</f>
        <v>872.76399598464036</v>
      </c>
      <c r="AC11" s="96">
        <f>IFERROR('Aggregated expenditure (Core)'!AD11*1000000/Population!AE$2,0)</f>
        <v>899.40470626142405</v>
      </c>
      <c r="AD11" s="96">
        <f>IFERROR('Aggregated expenditure (Core)'!AE11*1000000/Population!AF$2,0)</f>
        <v>924.69521908004913</v>
      </c>
      <c r="AE11" s="96">
        <f>IFERROR('Aggregated expenditure (Core)'!AF11*1000000/Population!AG$2,0)</f>
        <v>946.1536307721982</v>
      </c>
    </row>
    <row r="12" spans="1:32" s="98" customFormat="1" x14ac:dyDescent="0.25">
      <c r="A12" s="95" t="str">
        <f>+'Aggregated expenditure (Core)'!B12</f>
        <v>Welfare</v>
      </c>
      <c r="B12" s="96">
        <f>IFERROR('Aggregated expenditure (Core)'!C12*1000000/Population!D$2,0)</f>
        <v>1934.368365110573</v>
      </c>
      <c r="C12" s="96">
        <f>IFERROR('Aggregated expenditure (Core)'!D12*1000000/Population!E$2,0)</f>
        <v>1802.509377209645</v>
      </c>
      <c r="D12" s="96">
        <f>IFERROR('Aggregated expenditure (Core)'!E12*1000000/Population!F$2,0)</f>
        <v>1848.1379376996849</v>
      </c>
      <c r="E12" s="96">
        <f>IFERROR('Aggregated expenditure (Core)'!F12*1000000/Population!G$2,0)</f>
        <v>1934.6485646169499</v>
      </c>
      <c r="F12" s="96">
        <f>IFERROR('Aggregated expenditure (Core)'!G12*1000000/Population!H$2,0)</f>
        <v>1992.3001082517574</v>
      </c>
      <c r="G12" s="96">
        <f>IFERROR('Aggregated expenditure (Core)'!H12*1000000/Population!I$2,0)</f>
        <v>1940.4980340760158</v>
      </c>
      <c r="H12" s="96">
        <f>IFERROR('Aggregated expenditure (Core)'!I12*1000000/Population!J$2,0)</f>
        <v>2042.9715000912622</v>
      </c>
      <c r="I12" s="96">
        <f>IFERROR('Aggregated expenditure (Core)'!J12*1000000/Population!K$2,0)</f>
        <v>2029.1883764937656</v>
      </c>
      <c r="J12" s="96">
        <f>IFERROR('Aggregated expenditure (Core)'!K12*1000000/Population!L$2,0)</f>
        <v>2044.5818837778636</v>
      </c>
      <c r="K12" s="96">
        <f>IFERROR('Aggregated expenditure (Core)'!L12*1000000/Population!M$2,0)</f>
        <v>2034.9499810054451</v>
      </c>
      <c r="L12" s="96">
        <f>IFERROR('Aggregated expenditure (Core)'!M12*1000000/Population!N$2,0)</f>
        <v>2052.2943980929676</v>
      </c>
      <c r="M12" s="96">
        <f>IFERROR('Aggregated expenditure (Core)'!N12*1000000/Population!O$2,0)</f>
        <v>2045.993883792049</v>
      </c>
      <c r="N12" s="96">
        <f>IFERROR('Aggregated expenditure (Core)'!O12*1000000/Population!P$2,0)</f>
        <v>2080.1180483320836</v>
      </c>
      <c r="O12" s="96">
        <f>IFERROR('Aggregated expenditure (Core)'!P12*1000000/Population!Q$2,0)</f>
        <v>2194.6982170466686</v>
      </c>
      <c r="P12" s="96">
        <f>IFERROR('Aggregated expenditure (Core)'!Q12*1000000/Population!R$2,0)</f>
        <v>2357.5591994052834</v>
      </c>
      <c r="Q12" s="96">
        <f>IFERROR('Aggregated expenditure (Core)'!R12*1000000/Population!S$2,0)</f>
        <v>2471.7412993720291</v>
      </c>
      <c r="R12" s="96">
        <f>IFERROR('Aggregated expenditure (Core)'!S12*1000000/Population!T$2,0)</f>
        <v>2704.8824080379491</v>
      </c>
      <c r="S12" s="96">
        <f>IFERROR('Aggregated expenditure (Core)'!T12*1000000/Population!U$2,0)</f>
        <v>2963.9113056149972</v>
      </c>
      <c r="T12" s="96">
        <f>IFERROR('Aggregated expenditure (Core)'!U12*1000000/Population!V$2,0)</f>
        <v>3005.2669156038933</v>
      </c>
      <c r="U12" s="96">
        <f>IFERROR('Aggregated expenditure (Core)'!V12*1000000/Population!W$2,0)</f>
        <v>2823.061810625275</v>
      </c>
      <c r="V12" s="96">
        <f>IFERROR('Aggregated expenditure (Core)'!W12*1000000/Population!X$2,0)</f>
        <v>2815.3350892595845</v>
      </c>
      <c r="W12" s="96">
        <f>IFERROR('Aggregated expenditure (Core)'!X12*1000000/Population!Y$2,0)</f>
        <v>2742.5388441334103</v>
      </c>
      <c r="X12" s="96">
        <f>IFERROR('Aggregated expenditure (Core)'!Y12*1000000/Population!Z$2,0)</f>
        <v>2596.311809824294</v>
      </c>
      <c r="Y12" s="96">
        <f>IFERROR('Aggregated expenditure (Core)'!Z12*1000000/Population!AA$2,0)</f>
        <v>2517.366290219476</v>
      </c>
      <c r="Z12" s="96">
        <f>IFERROR('Aggregated expenditure (Core)'!AA12*1000000/Population!AB$2,0)</f>
        <v>2555.5393312334427</v>
      </c>
      <c r="AA12" s="96">
        <f>IFERROR('Aggregated expenditure (Core)'!AB12*1000000/Population!AC$2,0)</f>
        <v>2560.9194789591893</v>
      </c>
      <c r="AB12" s="96">
        <f>IFERROR('Aggregated expenditure (Core)'!AC12*1000000/Population!AD$2,0)</f>
        <v>2892.1398406681406</v>
      </c>
      <c r="AC12" s="96">
        <f>IFERROR('Aggregated expenditure (Core)'!AD12*1000000/Population!AE$2,0)</f>
        <v>2891.1425940327422</v>
      </c>
      <c r="AD12" s="96">
        <f>IFERROR('Aggregated expenditure (Core)'!AE12*1000000/Population!AF$2,0)</f>
        <v>2915.5905579282735</v>
      </c>
      <c r="AE12" s="96">
        <f>IFERROR('Aggregated expenditure (Core)'!AF12*1000000/Population!AG$2,0)</f>
        <v>2945.014979793611</v>
      </c>
    </row>
    <row r="13" spans="1:32" s="98" customFormat="1" x14ac:dyDescent="0.25">
      <c r="A13" s="95" t="str">
        <f>+'Aggregated expenditure (Core)'!B13</f>
        <v>NZ super</v>
      </c>
      <c r="B13" s="96">
        <f>IFERROR('Aggregated expenditure (Core)'!C13*1000000/Population!D$2,0)</f>
        <v>1444.7817384670541</v>
      </c>
      <c r="C13" s="96">
        <f>IFERROR('Aggregated expenditure (Core)'!D13*1000000/Population!E$2,0)</f>
        <v>1368.4850979284765</v>
      </c>
      <c r="D13" s="96">
        <f>IFERROR('Aggregated expenditure (Core)'!E13*1000000/Population!F$2,0)</f>
        <v>1343.4556812908961</v>
      </c>
      <c r="E13" s="96">
        <f>IFERROR('Aggregated expenditure (Core)'!F13*1000000/Population!G$2,0)</f>
        <v>1345.0942006563619</v>
      </c>
      <c r="F13" s="96">
        <f>IFERROR('Aggregated expenditure (Core)'!G13*1000000/Population!H$2,0)</f>
        <v>1345.1764209842197</v>
      </c>
      <c r="G13" s="96">
        <f>IFERROR('Aggregated expenditure (Core)'!H13*1000000/Population!I$2,0)</f>
        <v>1338.4010484927917</v>
      </c>
      <c r="H13" s="96">
        <f>IFERROR('Aggregated expenditure (Core)'!I13*1000000/Population!J$2,0)</f>
        <v>1322.2601757450914</v>
      </c>
      <c r="I13" s="96">
        <f>IFERROR('Aggregated expenditure (Core)'!J13*1000000/Population!K$2,0)</f>
        <v>1313.7361640355653</v>
      </c>
      <c r="J13" s="96">
        <f>IFERROR('Aggregated expenditure (Core)'!K13*1000000/Population!L$2,0)</f>
        <v>1358.8455095992783</v>
      </c>
      <c r="K13" s="96">
        <f>IFERROR('Aggregated expenditure (Core)'!L13*1000000/Population!M$2,0)</f>
        <v>1380.2709889831581</v>
      </c>
      <c r="L13" s="96">
        <f>IFERROR('Aggregated expenditure (Core)'!M13*1000000/Population!N$2,0)</f>
        <v>1400.9733810091379</v>
      </c>
      <c r="M13" s="96">
        <f>IFERROR('Aggregated expenditure (Core)'!N13*1000000/Population!O$2,0)</f>
        <v>1440.7339449541284</v>
      </c>
      <c r="N13" s="96">
        <f>IFERROR('Aggregated expenditure (Core)'!O13*1000000/Population!P$2,0)</f>
        <v>1471.4918116064732</v>
      </c>
      <c r="O13" s="96">
        <f>IFERROR('Aggregated expenditure (Core)'!P13*1000000/Population!Q$2,0)</f>
        <v>1532.7519995794132</v>
      </c>
      <c r="P13" s="96">
        <f>IFERROR('Aggregated expenditure (Core)'!Q13*1000000/Population!R$2,0)</f>
        <v>1612.2693460484013</v>
      </c>
      <c r="Q13" s="96">
        <f>IFERROR('Aggregated expenditure (Core)'!R13*1000000/Population!S$2,0)</f>
        <v>1724.983860555197</v>
      </c>
      <c r="R13" s="96">
        <f>IFERROR('Aggregated expenditure (Core)'!S13*1000000/Population!T$2,0)</f>
        <v>1799.8461391859321</v>
      </c>
      <c r="S13" s="96">
        <f>IFERROR('Aggregated expenditure (Core)'!T13*1000000/Population!U$2,0)</f>
        <v>1905.4536427722626</v>
      </c>
      <c r="T13" s="96">
        <f>IFERROR('Aggregated expenditure (Core)'!U13*1000000/Population!V$2,0)</f>
        <v>2014.1561187690609</v>
      </c>
      <c r="U13" s="96">
        <f>IFERROR('Aggregated expenditure (Core)'!V13*1000000/Population!W$2,0)</f>
        <v>2174.2385401022689</v>
      </c>
      <c r="V13" s="96">
        <f>IFERROR('Aggregated expenditure (Core)'!W13*1000000/Population!X$2,0)</f>
        <v>2304.0904076900565</v>
      </c>
      <c r="W13" s="96">
        <f>IFERROR('Aggregated expenditure (Core)'!X13*1000000/Population!Y$2,0)</f>
        <v>2419.9002592195916</v>
      </c>
      <c r="X13" s="96">
        <f>IFERROR('Aggregated expenditure (Core)'!Y13*1000000/Population!Z$2,0)</f>
        <v>2522.1128216286788</v>
      </c>
      <c r="Y13" s="96">
        <f>IFERROR('Aggregated expenditure (Core)'!Z13*1000000/Population!AA$2,0)</f>
        <v>2613.8930321755806</v>
      </c>
      <c r="Z13" s="96">
        <f>IFERROR('Aggregated expenditure (Core)'!AA13*1000000/Population!AB$2,0)</f>
        <v>2720.749285550387</v>
      </c>
      <c r="AA13" s="96">
        <f>IFERROR('Aggregated expenditure (Core)'!AB13*1000000/Population!AC$2,0)</f>
        <v>2802.6394425884332</v>
      </c>
      <c r="AB13" s="96">
        <f>IFERROR('Aggregated expenditure (Core)'!AC13*1000000/Population!AD$2,0)</f>
        <v>2911.0954357750156</v>
      </c>
      <c r="AC13" s="96">
        <f>IFERROR('Aggregated expenditure (Core)'!AD13*1000000/Population!AE$2,0)</f>
        <v>3053.8389783144416</v>
      </c>
      <c r="AD13" s="96">
        <f>IFERROR('Aggregated expenditure (Core)'!AE13*1000000/Population!AF$2,0)</f>
        <v>3188.1840263372069</v>
      </c>
      <c r="AE13" s="96">
        <f>IFERROR('Aggregated expenditure (Core)'!AF13*1000000/Population!AG$2,0)</f>
        <v>3348.8705266727438</v>
      </c>
    </row>
    <row r="14" spans="1:32" s="98" customFormat="1" x14ac:dyDescent="0.25">
      <c r="A14" s="95" t="str">
        <f>+'Aggregated expenditure (Core)'!B14</f>
        <v>All other</v>
      </c>
      <c r="B14" s="96">
        <f>IFERROR('Aggregated expenditure (Core)'!C14*1000000/Population!D$2,0)</f>
        <v>839.53865964951569</v>
      </c>
      <c r="C14" s="96">
        <f>IFERROR('Aggregated expenditure (Core)'!D14*1000000/Population!E$2,0)</f>
        <v>337.29281767955803</v>
      </c>
      <c r="D14" s="96">
        <f>IFERROR('Aggregated expenditure (Core)'!E14*1000000/Population!F$2,0)</f>
        <v>459.24756356508954</v>
      </c>
      <c r="E14" s="96">
        <f>IFERROR('Aggregated expenditure (Core)'!F14*1000000/Population!G$2,0)</f>
        <v>496.78456591639872</v>
      </c>
      <c r="F14" s="96">
        <f>IFERROR('Aggregated expenditure (Core)'!G14*1000000/Population!H$2,0)</f>
        <v>636.28910692090017</v>
      </c>
      <c r="G14" s="96">
        <f>IFERROR('Aggregated expenditure (Core)'!H14*1000000/Population!I$2,0)</f>
        <v>841.67758846657932</v>
      </c>
      <c r="H14" s="96">
        <f>IFERROR('Aggregated expenditure (Core)'!I14*1000000/Population!J$2,0)</f>
        <v>963.99050872206726</v>
      </c>
      <c r="I14" s="96">
        <f>IFERROR('Aggregated expenditure (Core)'!J14*1000000/Population!K$2,0)</f>
        <v>837.28646602898095</v>
      </c>
      <c r="J14" s="96">
        <f>IFERROR('Aggregated expenditure (Core)'!K14*1000000/Population!L$2,0)</f>
        <v>982.0899368638062</v>
      </c>
      <c r="K14" s="96">
        <f>IFERROR('Aggregated expenditure (Core)'!L14*1000000/Population!M$2,0)</f>
        <v>1121.1852602254021</v>
      </c>
      <c r="L14" s="96">
        <f>IFERROR('Aggregated expenditure (Core)'!M14*1000000/Population!N$2,0)</f>
        <v>1005.6615017878427</v>
      </c>
      <c r="M14" s="96">
        <f>IFERROR('Aggregated expenditure (Core)'!N14*1000000/Population!O$2,0)</f>
        <v>1085.5045871559632</v>
      </c>
      <c r="N14" s="96">
        <f>IFERROR('Aggregated expenditure (Core)'!O14*1000000/Population!P$2,0)</f>
        <v>1300.7087737971408</v>
      </c>
      <c r="O14" s="96">
        <f>IFERROR('Aggregated expenditure (Core)'!P14*1000000/Population!Q$2,0)</f>
        <v>1381.2451757980991</v>
      </c>
      <c r="P14" s="96">
        <f>IFERROR('Aggregated expenditure (Core)'!Q14*1000000/Population!R$2,0)</f>
        <v>1479.6891942441275</v>
      </c>
      <c r="Q14" s="96">
        <f>IFERROR('Aggregated expenditure (Core)'!R14*1000000/Population!S$2,0)</f>
        <v>1874.5231527671813</v>
      </c>
      <c r="R14" s="96">
        <f>IFERROR('Aggregated expenditure (Core)'!S14*1000000/Population!T$2,0)</f>
        <v>1912.5689410331915</v>
      </c>
      <c r="S14" s="96">
        <f>IFERROR('Aggregated expenditure (Core)'!T14*1000000/Population!U$2,0)</f>
        <v>1766.6244509466358</v>
      </c>
      <c r="T14" s="96">
        <f>IFERROR('Aggregated expenditure (Core)'!U14*1000000/Population!V$2,0)</f>
        <v>2103.5727890473704</v>
      </c>
      <c r="U14" s="96">
        <f>IFERROR('Aggregated expenditure (Core)'!V14*1000000/Population!W$2,0)</f>
        <v>1623.419344007913</v>
      </c>
      <c r="V14" s="96">
        <f>IFERROR('Aggregated expenditure (Core)'!W14*1000000/Population!X$2,0)</f>
        <v>1663.6275635397672</v>
      </c>
      <c r="W14" s="96">
        <f>IFERROR('Aggregated expenditure (Core)'!X14*1000000/Population!Y$2,0)</f>
        <v>1675.059704769064</v>
      </c>
      <c r="X14" s="96">
        <f>IFERROR('Aggregated expenditure (Core)'!Y14*1000000/Population!Z$2,0)</f>
        <v>1634.1184790295381</v>
      </c>
      <c r="Y14" s="96">
        <f>IFERROR('Aggregated expenditure (Core)'!Z14*1000000/Population!AA$2,0)</f>
        <v>1640.3153633070531</v>
      </c>
      <c r="Z14" s="96">
        <f>IFERROR('Aggregated expenditure (Core)'!AA14*1000000/Population!AB$2,0)</f>
        <v>1673.3765827405662</v>
      </c>
      <c r="AA14" s="96">
        <f>IFERROR('Aggregated expenditure (Core)'!AB14*1000000/Population!AC$2,0)</f>
        <v>1944.0107677120354</v>
      </c>
      <c r="AB14" s="96">
        <f>IFERROR('Aggregated expenditure (Core)'!AC14*1000000/Population!AD$2,0)</f>
        <v>1858.2532862750602</v>
      </c>
      <c r="AC14" s="96">
        <f>IFERROR('Aggregated expenditure (Core)'!AD14*1000000/Population!AE$2,0)</f>
        <v>1814.7210393474643</v>
      </c>
      <c r="AD14" s="96">
        <f>IFERROR('Aggregated expenditure (Core)'!AE14*1000000/Population!AF$2,0)</f>
        <v>1927.0215989542787</v>
      </c>
      <c r="AE14" s="96">
        <f>IFERROR('Aggregated expenditure (Core)'!AF14*1000000/Population!AG$2,0)</f>
        <v>1862.9465549585761</v>
      </c>
    </row>
    <row r="15" spans="1:32" x14ac:dyDescent="0.25">
      <c r="A15" s="95" t="str">
        <f>+'Aggregated expenditure (Core)'!B15</f>
        <v>Total core Crown expenses excluding losses</v>
      </c>
      <c r="B15" s="96">
        <f>IFERROR('Aggregated expenditure (Core)'!C15*1000000/Population!D$2,0)</f>
        <v>8798.2195845697333</v>
      </c>
      <c r="C15" s="96">
        <f>IFERROR('Aggregated expenditure (Core)'!D15*1000000/Population!E$2,0)</f>
        <v>8187.5690607734805</v>
      </c>
      <c r="D15" s="96">
        <f>IFERROR('Aggregated expenditure (Core)'!E15*1000000/Population!F$2,0)</f>
        <v>8275.7118745576299</v>
      </c>
      <c r="E15" s="96">
        <f>IFERROR('Aggregated expenditure (Core)'!F15*1000000/Population!G$2,0)</f>
        <v>8505.6270096463031</v>
      </c>
      <c r="F15" s="96">
        <f>IFERROR('Aggregated expenditure (Core)'!G15*1000000/Population!H$2,0)</f>
        <v>8714.7277391373336</v>
      </c>
      <c r="G15" s="96">
        <f>IFERROR('Aggregated expenditure (Core)'!H15*1000000/Population!I$2,0)</f>
        <v>8967.4967234600263</v>
      </c>
      <c r="H15" s="96">
        <f>IFERROR('Aggregated expenditure (Core)'!I15*1000000/Population!J$2,0)</f>
        <v>9341.3470313681519</v>
      </c>
      <c r="I15" s="96">
        <f>IFERROR('Aggregated expenditure (Core)'!J15*1000000/Population!K$2,0)</f>
        <v>9376.3123104440474</v>
      </c>
      <c r="J15" s="96">
        <f>IFERROR('Aggregated expenditure (Core)'!K15*1000000/Population!L$2,0)</f>
        <v>9457.2864321608049</v>
      </c>
      <c r="K15" s="96">
        <f>IFERROR('Aggregated expenditure (Core)'!L15*1000000/Population!M$2,0)</f>
        <v>9616.309991135875</v>
      </c>
      <c r="L15" s="96">
        <f>IFERROR('Aggregated expenditure (Core)'!M15*1000000/Population!N$2,0)</f>
        <v>9906.8831942789038</v>
      </c>
      <c r="M15" s="96">
        <f>IFERROR('Aggregated expenditure (Core)'!N15*1000000/Population!O$2,0)</f>
        <v>10246.360856269113</v>
      </c>
      <c r="N15" s="96">
        <f>IFERROR('Aggregated expenditure (Core)'!O15*1000000/Population!P$2,0)</f>
        <v>10860.204649362588</v>
      </c>
      <c r="O15" s="96">
        <f>IFERROR('Aggregated expenditure (Core)'!P15*1000000/Population!Q$2,0)</f>
        <v>11785.988247467518</v>
      </c>
      <c r="P15" s="96">
        <f>IFERROR('Aggregated expenditure (Core)'!Q15*1000000/Population!R$2,0)</f>
        <v>12785.224889082498</v>
      </c>
      <c r="Q15" s="96">
        <f>IFERROR('Aggregated expenditure (Core)'!R15*1000000/Population!S$2,0)</f>
        <v>13380.362697341394</v>
      </c>
      <c r="R15" s="96">
        <f>IFERROR('Aggregated expenditure (Core)'!S15*1000000/Population!T$2,0)</f>
        <v>14875.22631717175</v>
      </c>
      <c r="S15" s="96">
        <f>IFERROR('Aggregated expenditure (Core)'!T15*1000000/Population!U$2,0)</f>
        <v>14713.365987307701</v>
      </c>
      <c r="T15" s="96">
        <f>IFERROR('Aggregated expenditure (Core)'!U15*1000000/Population!V$2,0)</f>
        <v>16069.909237517593</v>
      </c>
      <c r="U15" s="96">
        <f>IFERROR('Aggregated expenditure (Core)'!V15*1000000/Population!W$2,0)</f>
        <v>15670.670012114393</v>
      </c>
      <c r="V15" s="96">
        <f>IFERROR('Aggregated expenditure (Core)'!W15*1000000/Population!X$2,0)</f>
        <v>15827.198847391999</v>
      </c>
      <c r="W15" s="96">
        <f>IFERROR('Aggregated expenditure (Core)'!X15*1000000/Population!Y$2,0)</f>
        <v>15847.430754663847</v>
      </c>
      <c r="X15" s="96">
        <f>IFERROR('Aggregated expenditure (Core)'!Y15*1000000/Population!Z$2,0)</f>
        <v>15745.634553663711</v>
      </c>
      <c r="Y15" s="96">
        <f>IFERROR('Aggregated expenditure (Core)'!Z15*1000000/Population!AA$2,0)</f>
        <v>15753.036437246963</v>
      </c>
      <c r="Z15" s="96">
        <f>IFERROR('Aggregated expenditure (Core)'!AA15*1000000/Population!AB$2,0)</f>
        <v>15924.1953315672</v>
      </c>
      <c r="AA15" s="96">
        <f>IFERROR('Aggregated expenditure (Core)'!AB15*1000000/Population!AC$2,0)</f>
        <v>16740.593884833455</v>
      </c>
      <c r="AB15" s="96">
        <f>IFERROR('Aggregated expenditure (Core)'!AC15*1000000/Population!AD$2,0)</f>
        <v>17404.462792385013</v>
      </c>
      <c r="AC15" s="96">
        <f>IFERROR('Aggregated expenditure (Core)'!AD15*1000000/Population!AE$2,0)</f>
        <v>17733.508096034624</v>
      </c>
      <c r="AD15" s="96">
        <f>IFERROR('Aggregated expenditure (Core)'!AE15*1000000/Population!AF$2,0)</f>
        <v>18224.062397372098</v>
      </c>
      <c r="AE15" s="96">
        <f>IFERROR('Aggregated expenditure (Core)'!AF15*1000000/Population!AG$2,0)</f>
        <v>18531.078016258441</v>
      </c>
    </row>
    <row r="16" spans="1:32" x14ac:dyDescent="0.25">
      <c r="M16" s="99"/>
      <c r="N16" s="99"/>
      <c r="O16" s="99"/>
      <c r="P16" s="99"/>
      <c r="Q16" s="99"/>
      <c r="R16" s="99"/>
      <c r="S16" s="99"/>
      <c r="T16" s="99"/>
      <c r="U16" s="99"/>
      <c r="V16" s="99"/>
      <c r="W16" s="99"/>
      <c r="X16" s="99"/>
    </row>
    <row r="17" spans="1:31" x14ac:dyDescent="0.25">
      <c r="M17" s="99"/>
      <c r="N17" s="99"/>
      <c r="O17" s="99"/>
      <c r="P17" s="99"/>
      <c r="Q17" s="99"/>
      <c r="R17" s="99"/>
      <c r="S17" s="99"/>
      <c r="T17" s="99"/>
      <c r="U17" s="99"/>
      <c r="V17" s="99"/>
      <c r="W17" s="99"/>
      <c r="X17" s="99"/>
    </row>
    <row r="18" spans="1:31" x14ac:dyDescent="0.25">
      <c r="M18" s="99"/>
      <c r="N18" s="99"/>
      <c r="O18" s="99"/>
      <c r="P18" s="99"/>
      <c r="Q18" s="99"/>
      <c r="R18" s="99"/>
      <c r="S18" s="99"/>
      <c r="T18" s="99"/>
      <c r="U18" s="99"/>
      <c r="V18" s="99"/>
      <c r="W18" s="99"/>
      <c r="X18" s="99"/>
    </row>
    <row r="19" spans="1:31" x14ac:dyDescent="0.25">
      <c r="A19" s="100"/>
      <c r="M19" s="99"/>
      <c r="N19" s="99"/>
      <c r="O19" s="99"/>
      <c r="P19" s="99"/>
      <c r="Q19" s="99"/>
      <c r="R19" s="99"/>
      <c r="S19" s="99"/>
      <c r="T19" s="99"/>
      <c r="U19" s="99"/>
      <c r="V19" s="99"/>
      <c r="W19" s="99"/>
      <c r="X19" s="99"/>
    </row>
    <row r="20" spans="1:31" x14ac:dyDescent="0.25">
      <c r="M20" s="99"/>
      <c r="N20" s="99"/>
      <c r="O20" s="99"/>
      <c r="P20" s="99"/>
      <c r="Q20" s="99"/>
      <c r="R20" s="99"/>
      <c r="S20" s="99"/>
      <c r="T20" s="99"/>
      <c r="U20" s="99"/>
      <c r="V20" s="99"/>
      <c r="W20" s="99"/>
      <c r="X20" s="99"/>
    </row>
    <row r="22" spans="1:31" x14ac:dyDescent="0.25">
      <c r="A22" s="100"/>
      <c r="Q22" s="99"/>
    </row>
    <row r="23" spans="1:31" x14ac:dyDescent="0.25">
      <c r="A23" s="100"/>
      <c r="V23" s="99"/>
    </row>
    <row r="24" spans="1:31" x14ac:dyDescent="0.25">
      <c r="A24" s="100"/>
      <c r="N24" s="99"/>
      <c r="O24" s="99"/>
      <c r="P24" s="99"/>
      <c r="V24" s="99"/>
    </row>
    <row r="26" spans="1:31" x14ac:dyDescent="0.25">
      <c r="N26" s="99"/>
      <c r="O26" s="99"/>
      <c r="P26" s="99"/>
    </row>
    <row r="27" spans="1:31" x14ac:dyDescent="0.25">
      <c r="N27" s="99"/>
      <c r="O27" s="99"/>
      <c r="P27" s="99"/>
    </row>
    <row r="28" spans="1:31" x14ac:dyDescent="0.25">
      <c r="N28" s="99"/>
      <c r="O28" s="99"/>
      <c r="P28" s="99"/>
    </row>
    <row r="29" spans="1:31" x14ac:dyDescent="0.25">
      <c r="N29" s="99"/>
      <c r="O29" s="99"/>
      <c r="P29" s="99"/>
    </row>
    <row r="30" spans="1:31" x14ac:dyDescent="0.25">
      <c r="N30" s="99"/>
      <c r="O30" s="99"/>
      <c r="P30" s="99"/>
    </row>
    <row r="31" spans="1:31" x14ac:dyDescent="0.25">
      <c r="A31" s="82" t="s">
        <v>52</v>
      </c>
      <c r="N31" s="99"/>
      <c r="O31" s="99"/>
      <c r="P31" s="99"/>
    </row>
    <row r="32" spans="1:31" x14ac:dyDescent="0.25">
      <c r="A32" s="193" t="s">
        <v>0</v>
      </c>
      <c r="B32" s="84">
        <v>34121</v>
      </c>
      <c r="C32" s="85">
        <v>34486</v>
      </c>
      <c r="D32" s="85">
        <v>34851</v>
      </c>
      <c r="E32" s="85">
        <v>35217</v>
      </c>
      <c r="F32" s="85">
        <v>35582</v>
      </c>
      <c r="G32" s="85">
        <v>35947</v>
      </c>
      <c r="H32" s="85">
        <v>36312</v>
      </c>
      <c r="I32" s="85">
        <v>36678</v>
      </c>
      <c r="J32" s="85">
        <v>37043</v>
      </c>
      <c r="K32" s="85">
        <v>37408</v>
      </c>
      <c r="L32" s="85">
        <v>37773</v>
      </c>
      <c r="M32" s="85">
        <v>38139</v>
      </c>
      <c r="N32" s="85">
        <v>38504</v>
      </c>
      <c r="O32" s="85">
        <v>38869</v>
      </c>
      <c r="P32" s="85">
        <v>39234</v>
      </c>
      <c r="Q32" s="85">
        <v>39600</v>
      </c>
      <c r="R32" s="85">
        <v>39965</v>
      </c>
      <c r="S32" s="85">
        <v>40330</v>
      </c>
      <c r="T32" s="85">
        <v>40695</v>
      </c>
      <c r="U32" s="85">
        <v>41061</v>
      </c>
      <c r="V32" s="85">
        <v>41426</v>
      </c>
      <c r="W32" s="85">
        <v>41791</v>
      </c>
      <c r="X32" s="85">
        <v>42156</v>
      </c>
      <c r="Y32" s="85">
        <f>+Y2</f>
        <v>42522</v>
      </c>
      <c r="Z32" s="85">
        <f t="shared" ref="Z32:AC32" si="1">+Z2</f>
        <v>42887</v>
      </c>
      <c r="AA32" s="85">
        <f t="shared" si="1"/>
        <v>43252</v>
      </c>
      <c r="AB32" s="85">
        <f t="shared" si="1"/>
        <v>43617</v>
      </c>
      <c r="AC32" s="85">
        <f t="shared" si="1"/>
        <v>43983</v>
      </c>
      <c r="AD32" s="85">
        <f>+AD2</f>
        <v>44348</v>
      </c>
      <c r="AE32" s="85">
        <f>+AE2</f>
        <v>44713</v>
      </c>
    </row>
    <row r="33" spans="1:31" x14ac:dyDescent="0.25">
      <c r="A33" s="194"/>
      <c r="B33" s="88" t="s">
        <v>24</v>
      </c>
      <c r="C33" s="88" t="s">
        <v>24</v>
      </c>
      <c r="D33" s="88" t="s">
        <v>24</v>
      </c>
      <c r="E33" s="88" t="s">
        <v>24</v>
      </c>
      <c r="F33" s="88" t="s">
        <v>24</v>
      </c>
      <c r="G33" s="88" t="s">
        <v>24</v>
      </c>
      <c r="H33" s="88" t="s">
        <v>24</v>
      </c>
      <c r="I33" s="88" t="s">
        <v>24</v>
      </c>
      <c r="J33" s="88" t="s">
        <v>24</v>
      </c>
      <c r="K33" s="88" t="s">
        <v>24</v>
      </c>
      <c r="L33" s="88" t="s">
        <v>24</v>
      </c>
      <c r="M33" s="88" t="s">
        <v>24</v>
      </c>
      <c r="N33" s="88" t="s">
        <v>24</v>
      </c>
      <c r="O33" s="88" t="s">
        <v>24</v>
      </c>
      <c r="P33" s="88" t="s">
        <v>24</v>
      </c>
      <c r="Q33" s="88" t="s">
        <v>24</v>
      </c>
      <c r="R33" s="88" t="s">
        <v>24</v>
      </c>
      <c r="S33" s="88" t="s">
        <v>24</v>
      </c>
      <c r="T33" s="88" t="s">
        <v>24</v>
      </c>
      <c r="U33" s="88" t="s">
        <v>24</v>
      </c>
      <c r="V33" s="88" t="s">
        <v>24</v>
      </c>
      <c r="W33" s="88" t="s">
        <v>24</v>
      </c>
      <c r="X33" s="88" t="s">
        <v>24</v>
      </c>
      <c r="Y33" s="88" t="s">
        <v>24</v>
      </c>
      <c r="Z33" s="88" t="s">
        <v>24</v>
      </c>
      <c r="AA33" s="88" t="s">
        <v>24</v>
      </c>
      <c r="AB33" s="88" t="s">
        <v>24</v>
      </c>
      <c r="AC33" s="88" t="s">
        <v>24</v>
      </c>
      <c r="AD33" s="88" t="s">
        <v>24</v>
      </c>
      <c r="AE33" s="88" t="s">
        <v>24</v>
      </c>
    </row>
    <row r="34" spans="1:31" x14ac:dyDescent="0.25">
      <c r="A34" s="194"/>
      <c r="B34" s="88" t="s">
        <v>53</v>
      </c>
      <c r="C34" s="88" t="s">
        <v>53</v>
      </c>
      <c r="D34" s="88" t="s">
        <v>53</v>
      </c>
      <c r="E34" s="88" t="s">
        <v>53</v>
      </c>
      <c r="F34" s="88" t="s">
        <v>53</v>
      </c>
      <c r="G34" s="88" t="s">
        <v>53</v>
      </c>
      <c r="H34" s="88" t="s">
        <v>53</v>
      </c>
      <c r="I34" s="88" t="s">
        <v>53</v>
      </c>
      <c r="J34" s="88" t="s">
        <v>53</v>
      </c>
      <c r="K34" s="88" t="s">
        <v>53</v>
      </c>
      <c r="L34" s="88" t="s">
        <v>53</v>
      </c>
      <c r="M34" s="88" t="s">
        <v>53</v>
      </c>
      <c r="N34" s="88" t="s">
        <v>53</v>
      </c>
      <c r="O34" s="88" t="s">
        <v>53</v>
      </c>
      <c r="P34" s="88" t="s">
        <v>53</v>
      </c>
      <c r="Q34" s="88" t="s">
        <v>53</v>
      </c>
      <c r="R34" s="88" t="s">
        <v>53</v>
      </c>
      <c r="S34" s="88" t="s">
        <v>53</v>
      </c>
      <c r="T34" s="88" t="s">
        <v>53</v>
      </c>
      <c r="U34" s="88" t="s">
        <v>53</v>
      </c>
      <c r="V34" s="88" t="s">
        <v>53</v>
      </c>
      <c r="W34" s="88" t="s">
        <v>53</v>
      </c>
      <c r="X34" s="88" t="s">
        <v>53</v>
      </c>
      <c r="Y34" s="88" t="s">
        <v>53</v>
      </c>
      <c r="Z34" s="88" t="s">
        <v>53</v>
      </c>
      <c r="AA34" s="88" t="s">
        <v>53</v>
      </c>
      <c r="AB34" s="88" t="s">
        <v>53</v>
      </c>
      <c r="AC34" s="88" t="s">
        <v>53</v>
      </c>
      <c r="AD34" s="88" t="s">
        <v>53</v>
      </c>
      <c r="AE34" s="88" t="s">
        <v>53</v>
      </c>
    </row>
    <row r="35" spans="1:31" x14ac:dyDescent="0.25">
      <c r="A35" s="194"/>
      <c r="B35" s="88" t="s">
        <v>54</v>
      </c>
      <c r="C35" s="88" t="s">
        <v>54</v>
      </c>
      <c r="D35" s="88" t="s">
        <v>54</v>
      </c>
      <c r="E35" s="88" t="s">
        <v>54</v>
      </c>
      <c r="F35" s="88" t="s">
        <v>54</v>
      </c>
      <c r="G35" s="88" t="s">
        <v>54</v>
      </c>
      <c r="H35" s="88" t="s">
        <v>54</v>
      </c>
      <c r="I35" s="88" t="s">
        <v>54</v>
      </c>
      <c r="J35" s="88" t="s">
        <v>54</v>
      </c>
      <c r="K35" s="88" t="s">
        <v>54</v>
      </c>
      <c r="L35" s="88" t="s">
        <v>54</v>
      </c>
      <c r="M35" s="88" t="s">
        <v>54</v>
      </c>
      <c r="N35" s="88" t="s">
        <v>54</v>
      </c>
      <c r="O35" s="88" t="s">
        <v>54</v>
      </c>
      <c r="P35" s="88" t="s">
        <v>54</v>
      </c>
      <c r="Q35" s="88" t="s">
        <v>54</v>
      </c>
      <c r="R35" s="88" t="s">
        <v>54</v>
      </c>
      <c r="S35" s="88" t="s">
        <v>54</v>
      </c>
      <c r="T35" s="88" t="s">
        <v>54</v>
      </c>
      <c r="U35" s="88" t="s">
        <v>54</v>
      </c>
      <c r="V35" s="88" t="s">
        <v>54</v>
      </c>
      <c r="W35" s="88" t="s">
        <v>54</v>
      </c>
      <c r="X35" s="88" t="s">
        <v>54</v>
      </c>
      <c r="Y35" s="88" t="s">
        <v>54</v>
      </c>
      <c r="Z35" s="88" t="s">
        <v>54</v>
      </c>
      <c r="AA35" s="88" t="s">
        <v>54</v>
      </c>
      <c r="AB35" s="88" t="s">
        <v>54</v>
      </c>
      <c r="AC35" s="88" t="s">
        <v>54</v>
      </c>
      <c r="AD35" s="88" t="s">
        <v>54</v>
      </c>
      <c r="AE35" s="88" t="s">
        <v>54</v>
      </c>
    </row>
    <row r="36" spans="1:31" x14ac:dyDescent="0.25">
      <c r="A36" s="91" t="s">
        <v>26</v>
      </c>
      <c r="B36" s="92"/>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row>
    <row r="37" spans="1:31" x14ac:dyDescent="0.25">
      <c r="A37" s="95" t="str">
        <f t="shared" ref="A37:A46" si="2">+A6</f>
        <v>Core govt services</v>
      </c>
      <c r="B37" s="101">
        <f t="shared" ref="B37:Y37" si="3">+B6/52.1429</f>
        <v>7.859775279109857</v>
      </c>
      <c r="C37" s="101">
        <f t="shared" si="3"/>
        <v>9.1281238831888771</v>
      </c>
      <c r="D37" s="101">
        <f t="shared" si="3"/>
        <v>6.9958645981493728</v>
      </c>
      <c r="E37" s="101">
        <f t="shared" si="3"/>
        <v>8.0422491857888172</v>
      </c>
      <c r="F37" s="101">
        <f t="shared" si="3"/>
        <v>8.4547210581335772</v>
      </c>
      <c r="G37" s="101">
        <f t="shared" si="3"/>
        <v>7.8521991512652454</v>
      </c>
      <c r="H37" s="101">
        <f t="shared" si="3"/>
        <v>8.5261409771380094</v>
      </c>
      <c r="I37" s="101">
        <f t="shared" si="3"/>
        <v>8.5010481876680188</v>
      </c>
      <c r="J37" s="101">
        <f t="shared" si="3"/>
        <v>8.8860104211616342</v>
      </c>
      <c r="K37" s="101">
        <f t="shared" si="3"/>
        <v>7.4798587566516916</v>
      </c>
      <c r="L37" s="101">
        <f t="shared" si="3"/>
        <v>10.143345623197566</v>
      </c>
      <c r="M37" s="101">
        <f t="shared" si="3"/>
        <v>9.8107246245897901</v>
      </c>
      <c r="N37" s="101">
        <f t="shared" si="3"/>
        <v>11.90887455507108</v>
      </c>
      <c r="O37" s="101">
        <f t="shared" si="3"/>
        <v>11.489525367229396</v>
      </c>
      <c r="P37" s="101">
        <f t="shared" si="3"/>
        <v>21.866626242820303</v>
      </c>
      <c r="Q37" s="101">
        <f t="shared" si="3"/>
        <v>15.176773738391569</v>
      </c>
      <c r="R37" s="101">
        <f t="shared" si="3"/>
        <v>23.592651312029624</v>
      </c>
      <c r="S37" s="101">
        <f t="shared" si="3"/>
        <v>13.109606005467169</v>
      </c>
      <c r="T37" s="101">
        <f t="shared" si="3"/>
        <v>24.335837960673064</v>
      </c>
      <c r="U37" s="101">
        <f t="shared" si="3"/>
        <v>23.615929422669502</v>
      </c>
      <c r="V37" s="101">
        <f t="shared" si="3"/>
        <v>18.538668027749942</v>
      </c>
      <c r="W37" s="101">
        <f t="shared" si="3"/>
        <v>19.145363664308903</v>
      </c>
      <c r="X37" s="101">
        <f t="shared" si="3"/>
        <v>17.251183510293245</v>
      </c>
      <c r="Y37" s="101">
        <f t="shared" si="3"/>
        <v>16.762929574196168</v>
      </c>
      <c r="Z37" s="101">
        <f t="shared" ref="Z37:AD37" si="4">+Z6/52.1429</f>
        <v>15.830035849621304</v>
      </c>
      <c r="AA37" s="101">
        <f t="shared" si="4"/>
        <v>21.067172097132811</v>
      </c>
      <c r="AB37" s="101">
        <f t="shared" si="4"/>
        <v>19.042871324243826</v>
      </c>
      <c r="AC37" s="101">
        <f t="shared" si="4"/>
        <v>19.259046734427553</v>
      </c>
      <c r="AD37" s="101">
        <f t="shared" si="4"/>
        <v>18.898534711827885</v>
      </c>
      <c r="AE37" s="101">
        <f t="shared" ref="AE37" si="5">+AE6/52.1429</f>
        <v>19.267831328490935</v>
      </c>
    </row>
    <row r="38" spans="1:31" x14ac:dyDescent="0.25">
      <c r="A38" s="95" t="str">
        <f t="shared" si="2"/>
        <v>Defence</v>
      </c>
      <c r="B38" s="101">
        <f t="shared" ref="B38:Y38" si="6">+B7/52.1429</f>
        <v>6.2974838814179392</v>
      </c>
      <c r="C38" s="101">
        <f t="shared" si="6"/>
        <v>5.5574010176814461</v>
      </c>
      <c r="D38" s="101">
        <f t="shared" si="6"/>
        <v>5.2886648044218765</v>
      </c>
      <c r="E38" s="101">
        <f t="shared" si="6"/>
        <v>4.9846528499777332</v>
      </c>
      <c r="F38" s="101">
        <f t="shared" si="6"/>
        <v>4.797940084579702</v>
      </c>
      <c r="G38" s="101">
        <f t="shared" si="6"/>
        <v>5.3537721485899397</v>
      </c>
      <c r="H38" s="101">
        <f t="shared" si="6"/>
        <v>5.1506892706464216</v>
      </c>
      <c r="I38" s="101">
        <f t="shared" si="6"/>
        <v>6.1993023918257411</v>
      </c>
      <c r="J38" s="101">
        <f t="shared" si="6"/>
        <v>6.1381673765755007</v>
      </c>
      <c r="K38" s="101">
        <f t="shared" si="6"/>
        <v>5.6438934254735491</v>
      </c>
      <c r="L38" s="101">
        <f t="shared" si="6"/>
        <v>5.709798780382104</v>
      </c>
      <c r="M38" s="101">
        <f t="shared" si="6"/>
        <v>6.1510569023611739</v>
      </c>
      <c r="N38" s="101">
        <f t="shared" si="6"/>
        <v>5.9150039180816627</v>
      </c>
      <c r="O38" s="101">
        <f t="shared" si="6"/>
        <v>6.3382583098836278</v>
      </c>
      <c r="P38" s="101">
        <f t="shared" si="6"/>
        <v>6.8878056499913622</v>
      </c>
      <c r="Q38" s="101">
        <f t="shared" si="6"/>
        <v>7.0323703884211302</v>
      </c>
      <c r="R38" s="101">
        <f t="shared" si="6"/>
        <v>7.8315300123249667</v>
      </c>
      <c r="S38" s="101">
        <f t="shared" si="6"/>
        <v>7.996242533260741</v>
      </c>
      <c r="T38" s="101">
        <f t="shared" si="6"/>
        <v>7.9136312908246582</v>
      </c>
      <c r="U38" s="101">
        <f t="shared" si="6"/>
        <v>7.5529206849215642</v>
      </c>
      <c r="V38" s="101">
        <f t="shared" si="6"/>
        <v>7.7884855896741731</v>
      </c>
      <c r="W38" s="101">
        <f t="shared" si="6"/>
        <v>7.7015223447497601</v>
      </c>
      <c r="X38" s="101">
        <f t="shared" si="6"/>
        <v>8.1832537164211558</v>
      </c>
      <c r="Y38" s="101">
        <f t="shared" si="6"/>
        <v>8.2793016375722654</v>
      </c>
      <c r="Z38" s="101">
        <f t="shared" ref="Z38:AD38" si="7">+Z7/52.1429</f>
        <v>8.5851041024228749</v>
      </c>
      <c r="AA38" s="101">
        <f t="shared" si="7"/>
        <v>8.9057754385975763</v>
      </c>
      <c r="AB38" s="101">
        <f t="shared" si="7"/>
        <v>9.4827620810409954</v>
      </c>
      <c r="AC38" s="101">
        <f t="shared" si="7"/>
        <v>9.7229768520609703</v>
      </c>
      <c r="AD38" s="101">
        <f t="shared" si="7"/>
        <v>9.9581030531809471</v>
      </c>
      <c r="AE38" s="101">
        <f t="shared" ref="AE38" si="8">+AE7/52.1429</f>
        <v>10.169029617339808</v>
      </c>
    </row>
    <row r="39" spans="1:31" x14ac:dyDescent="0.25">
      <c r="A39" s="95" t="str">
        <f t="shared" si="2"/>
        <v>Education</v>
      </c>
      <c r="B39" s="101">
        <f t="shared" ref="B39:Y39" si="9">+B8/52.1429</f>
        <v>24.368524584617241</v>
      </c>
      <c r="C39" s="101">
        <f t="shared" si="9"/>
        <v>24.512959493624457</v>
      </c>
      <c r="D39" s="101">
        <f t="shared" si="9"/>
        <v>25.075475869336895</v>
      </c>
      <c r="E39" s="101">
        <f t="shared" si="9"/>
        <v>25.432007169628662</v>
      </c>
      <c r="F39" s="101">
        <f t="shared" si="9"/>
        <v>27.058150476990182</v>
      </c>
      <c r="G39" s="101">
        <f t="shared" si="9"/>
        <v>28.724370006613064</v>
      </c>
      <c r="H39" s="101">
        <f t="shared" si="9"/>
        <v>29.49894758013907</v>
      </c>
      <c r="I39" s="101">
        <f t="shared" si="9"/>
        <v>31.369364949815903</v>
      </c>
      <c r="J39" s="101">
        <f t="shared" si="9"/>
        <v>30.325116765432586</v>
      </c>
      <c r="K39" s="101">
        <f t="shared" si="9"/>
        <v>31.439692033640522</v>
      </c>
      <c r="L39" s="101">
        <f t="shared" si="9"/>
        <v>33.411132813311802</v>
      </c>
      <c r="M39" s="101">
        <f t="shared" si="9"/>
        <v>35.587922657825708</v>
      </c>
      <c r="N39" s="101">
        <f t="shared" si="9"/>
        <v>36.7890047610883</v>
      </c>
      <c r="O39" s="101">
        <f t="shared" si="9"/>
        <v>45.435641998688567</v>
      </c>
      <c r="P39" s="101">
        <f t="shared" si="9"/>
        <v>42.085082775062581</v>
      </c>
      <c r="Q39" s="101">
        <f t="shared" si="9"/>
        <v>43.000108565819595</v>
      </c>
      <c r="R39" s="101">
        <f t="shared" si="9"/>
        <v>51.058722988720824</v>
      </c>
      <c r="S39" s="101">
        <f t="shared" si="9"/>
        <v>51.680235644955303</v>
      </c>
      <c r="T39" s="101">
        <f t="shared" si="9"/>
        <v>50.96396049646615</v>
      </c>
      <c r="U39" s="101">
        <f t="shared" si="9"/>
        <v>50.703765934375525</v>
      </c>
      <c r="V39" s="101">
        <f t="shared" si="9"/>
        <v>53.984048676987719</v>
      </c>
      <c r="W39" s="101">
        <f t="shared" si="9"/>
        <v>52.307412943358393</v>
      </c>
      <c r="X39" s="101">
        <f t="shared" si="9"/>
        <v>53.744071705144336</v>
      </c>
      <c r="Y39" s="101">
        <f t="shared" si="9"/>
        <v>53.770508858428371</v>
      </c>
      <c r="Z39" s="101">
        <f t="shared" ref="Z39:AD39" si="10">+Z8/52.1429</f>
        <v>53.130832984286215</v>
      </c>
      <c r="AA39" s="101">
        <f t="shared" si="10"/>
        <v>55.231535358048632</v>
      </c>
      <c r="AB39" s="101">
        <f t="shared" si="10"/>
        <v>58.868925121372769</v>
      </c>
      <c r="AC39" s="101">
        <f t="shared" si="10"/>
        <v>60.893527840840065</v>
      </c>
      <c r="AD39" s="101">
        <f t="shared" si="10"/>
        <v>63.291622433389271</v>
      </c>
      <c r="AE39" s="101">
        <f t="shared" ref="AE39" si="11">+AE8/52.1429</f>
        <v>64.758110867151856</v>
      </c>
    </row>
    <row r="40" spans="1:31" x14ac:dyDescent="0.25">
      <c r="A40" s="95" t="str">
        <f t="shared" si="2"/>
        <v>Finance costs</v>
      </c>
      <c r="B40" s="101">
        <f t="shared" ref="B40:Y40" si="12">+B9/52.1429</f>
        <v>21.265416585077968</v>
      </c>
      <c r="C40" s="101">
        <f t="shared" si="12"/>
        <v>20.068098241160456</v>
      </c>
      <c r="D40" s="101">
        <f t="shared" si="12"/>
        <v>19.614524847199398</v>
      </c>
      <c r="E40" s="101">
        <f t="shared" si="12"/>
        <v>19.029040725224277</v>
      </c>
      <c r="F40" s="101">
        <f t="shared" si="12"/>
        <v>15.580625729205966</v>
      </c>
      <c r="G40" s="101">
        <f t="shared" si="12"/>
        <v>14.095753149902526</v>
      </c>
      <c r="H40" s="101">
        <f t="shared" si="12"/>
        <v>12.581683694122717</v>
      </c>
      <c r="I40" s="101">
        <f t="shared" si="12"/>
        <v>11.79706862534281</v>
      </c>
      <c r="J40" s="101">
        <f t="shared" si="12"/>
        <v>11.386745278284986</v>
      </c>
      <c r="K40" s="101">
        <f t="shared" si="12"/>
        <v>10.287234315966417</v>
      </c>
      <c r="L40" s="101">
        <f t="shared" si="12"/>
        <v>11.238636465139088</v>
      </c>
      <c r="M40" s="101">
        <f t="shared" si="12"/>
        <v>10.566117577511337</v>
      </c>
      <c r="N40" s="101">
        <f t="shared" si="12"/>
        <v>10.549583458602116</v>
      </c>
      <c r="O40" s="101">
        <f t="shared" si="12"/>
        <v>10.797495718066397</v>
      </c>
      <c r="P40" s="101">
        <f t="shared" si="12"/>
        <v>10.574620539769205</v>
      </c>
      <c r="Q40" s="101">
        <f t="shared" si="12"/>
        <v>11.07530803810242</v>
      </c>
      <c r="R40" s="101">
        <f t="shared" si="12"/>
        <v>10.82685623217834</v>
      </c>
      <c r="S40" s="101">
        <f t="shared" si="12"/>
        <v>10.187054296783668</v>
      </c>
      <c r="T40" s="101">
        <f t="shared" si="12"/>
        <v>13.412489517782422</v>
      </c>
      <c r="U40" s="101">
        <f t="shared" si="12"/>
        <v>15.275521039608073</v>
      </c>
      <c r="V40" s="101">
        <f t="shared" si="12"/>
        <v>15.624461945139041</v>
      </c>
      <c r="W40" s="101">
        <f t="shared" si="12"/>
        <v>15.394539419102228</v>
      </c>
      <c r="X40" s="101">
        <f t="shared" si="12"/>
        <v>15.786460382060801</v>
      </c>
      <c r="Y40" s="101">
        <f t="shared" si="12"/>
        <v>14.670628271907422</v>
      </c>
      <c r="Z40" s="101">
        <f t="shared" ref="Z40:AD40" si="13">+Z9/52.1429</f>
        <v>14.137818218994616</v>
      </c>
      <c r="AA40" s="101">
        <f t="shared" si="13"/>
        <v>13.812798726619553</v>
      </c>
      <c r="AB40" s="101">
        <f t="shared" si="13"/>
        <v>13.38105905399749</v>
      </c>
      <c r="AC40" s="101">
        <f t="shared" si="13"/>
        <v>13.167405293571779</v>
      </c>
      <c r="AD40" s="101">
        <f t="shared" si="13"/>
        <v>13.222189822315958</v>
      </c>
      <c r="AE40" s="101">
        <f t="shared" ref="AE40" si="14">+AE9/52.1429</f>
        <v>12.320672481001365</v>
      </c>
    </row>
    <row r="41" spans="1:31" x14ac:dyDescent="0.25">
      <c r="A41" s="95" t="str">
        <f t="shared" si="2"/>
        <v>Health</v>
      </c>
      <c r="B41" s="101">
        <f t="shared" ref="B41:Y41" si="15">+B10/52.1429</f>
        <v>22.376737270034077</v>
      </c>
      <c r="C41" s="101">
        <f t="shared" si="15"/>
        <v>24.380514283479521</v>
      </c>
      <c r="D41" s="101">
        <f t="shared" si="15"/>
        <v>25.508801810864057</v>
      </c>
      <c r="E41" s="101">
        <f t="shared" si="15"/>
        <v>26.86573721616865</v>
      </c>
      <c r="F41" s="101">
        <f t="shared" si="15"/>
        <v>28.534049593916919</v>
      </c>
      <c r="G41" s="101">
        <f t="shared" si="15"/>
        <v>30.167123627876272</v>
      </c>
      <c r="H41" s="101">
        <f t="shared" si="15"/>
        <v>32.869398617435856</v>
      </c>
      <c r="I41" s="101">
        <f t="shared" si="15"/>
        <v>34.173219439783594</v>
      </c>
      <c r="J41" s="101">
        <f t="shared" si="15"/>
        <v>32.91481057004254</v>
      </c>
      <c r="K41" s="101">
        <f t="shared" si="15"/>
        <v>34.154783621282277</v>
      </c>
      <c r="L41" s="101">
        <f t="shared" si="15"/>
        <v>35.720767849579786</v>
      </c>
      <c r="M41" s="101">
        <f t="shared" si="15"/>
        <v>38.055852429482442</v>
      </c>
      <c r="N41" s="101">
        <f t="shared" si="15"/>
        <v>40.885434925532302</v>
      </c>
      <c r="O41" s="101">
        <f t="shared" si="15"/>
        <v>43.753689142775841</v>
      </c>
      <c r="P41" s="101">
        <f t="shared" si="15"/>
        <v>47.015970669519156</v>
      </c>
      <c r="Q41" s="101">
        <f t="shared" si="15"/>
        <v>50.860875978228883</v>
      </c>
      <c r="R41" s="101">
        <f t="shared" si="15"/>
        <v>55.128265903491851</v>
      </c>
      <c r="S41" s="101">
        <f t="shared" si="15"/>
        <v>57.869168675108604</v>
      </c>
      <c r="T41" s="101">
        <f t="shared" si="15"/>
        <v>60.163720919132956</v>
      </c>
      <c r="U41" s="101">
        <f t="shared" si="15"/>
        <v>61.60677240696392</v>
      </c>
      <c r="V41" s="101">
        <f t="shared" si="15"/>
        <v>62.59282931213756</v>
      </c>
      <c r="W41" s="101">
        <f t="shared" si="15"/>
        <v>63.355759189443361</v>
      </c>
      <c r="X41" s="101">
        <f t="shared" si="15"/>
        <v>62.837039501208444</v>
      </c>
      <c r="Y41" s="101">
        <f t="shared" si="15"/>
        <v>63.856054979617092</v>
      </c>
      <c r="Z41" s="101">
        <f t="shared" ref="Z41:AD41" si="16">+Z10/52.1429</f>
        <v>64.900346623302099</v>
      </c>
      <c r="AA41" s="101">
        <f t="shared" si="16"/>
        <v>65.961716890910793</v>
      </c>
      <c r="AB41" s="101">
        <f t="shared" si="16"/>
        <v>69.337863519977162</v>
      </c>
      <c r="AC41" s="101">
        <f t="shared" si="16"/>
        <v>70.986504204336867</v>
      </c>
      <c r="AD41" s="101">
        <f t="shared" si="16"/>
        <v>72.382820224559765</v>
      </c>
      <c r="AE41" s="101">
        <f t="shared" ref="AE41" si="17">+AE10/52.1429</f>
        <v>74.296936595481597</v>
      </c>
    </row>
    <row r="42" spans="1:31" x14ac:dyDescent="0.25">
      <c r="A42" s="95" t="str">
        <f t="shared" si="2"/>
        <v>Law and order</v>
      </c>
      <c r="B42" s="101">
        <f t="shared" ref="B42:Y42" si="18">+B11/52.1429</f>
        <v>5.6586087050422069</v>
      </c>
      <c r="C42" s="101">
        <f t="shared" si="18"/>
        <v>6.0924796666669812</v>
      </c>
      <c r="D42" s="101">
        <f t="shared" si="18"/>
        <v>6.2127454267147417</v>
      </c>
      <c r="E42" s="101">
        <f t="shared" si="18"/>
        <v>6.3413006359510558</v>
      </c>
      <c r="F42" s="101">
        <f t="shared" si="18"/>
        <v>6.4969992054403791</v>
      </c>
      <c r="G42" s="101">
        <f t="shared" si="18"/>
        <v>6.7613366571394069</v>
      </c>
      <c r="H42" s="101">
        <f t="shared" si="18"/>
        <v>7.496003123008725</v>
      </c>
      <c r="I42" s="101">
        <f t="shared" si="18"/>
        <v>7.611172383227915</v>
      </c>
      <c r="J42" s="101">
        <f t="shared" si="18"/>
        <v>7.6158743376029356</v>
      </c>
      <c r="K42" s="101">
        <f t="shared" si="18"/>
        <v>8.4172696268034954</v>
      </c>
      <c r="L42" s="101">
        <f t="shared" si="18"/>
        <v>8.2575405214199904</v>
      </c>
      <c r="M42" s="101">
        <f t="shared" si="18"/>
        <v>8.6471379641888966</v>
      </c>
      <c r="N42" s="101">
        <f t="shared" si="18"/>
        <v>9.1717354870960364</v>
      </c>
      <c r="O42" s="101">
        <f t="shared" si="18"/>
        <v>10.242955403174193</v>
      </c>
      <c r="P42" s="101">
        <f t="shared" si="18"/>
        <v>12.254573137328075</v>
      </c>
      <c r="Q42" s="101">
        <f t="shared" si="18"/>
        <v>13.029244496857075</v>
      </c>
      <c r="R42" s="101">
        <f t="shared" si="18"/>
        <v>13.768694483820045</v>
      </c>
      <c r="S42" s="101">
        <f t="shared" si="18"/>
        <v>14.066157620526473</v>
      </c>
      <c r="T42" s="101">
        <f t="shared" si="18"/>
        <v>14.794859605068542</v>
      </c>
      <c r="U42" s="101">
        <f t="shared" si="18"/>
        <v>14.805638877182078</v>
      </c>
      <c r="V42" s="101">
        <f t="shared" si="18"/>
        <v>14.920735142967816</v>
      </c>
      <c r="W42" s="101">
        <f t="shared" si="18"/>
        <v>14.888475830463232</v>
      </c>
      <c r="X42" s="101">
        <f t="shared" si="18"/>
        <v>14.668096284151128</v>
      </c>
      <c r="Y42" s="101">
        <f t="shared" si="18"/>
        <v>14.907646778807319</v>
      </c>
      <c r="Z42" s="101">
        <f t="shared" ref="Z42:AD42" si="19">+Z11/52.1429</f>
        <v>15.529997262630758</v>
      </c>
      <c r="AA42" s="101">
        <f t="shared" si="19"/>
        <v>15.928166137641847</v>
      </c>
      <c r="AB42" s="101">
        <f t="shared" si="19"/>
        <v>16.737925891821138</v>
      </c>
      <c r="AC42" s="101">
        <f t="shared" si="19"/>
        <v>17.248843203224677</v>
      </c>
      <c r="AD42" s="101">
        <f t="shared" si="19"/>
        <v>17.733866338083406</v>
      </c>
      <c r="AE42" s="101">
        <f t="shared" ref="AE42" si="20">+AE11/52.1429</f>
        <v>18.14539718297598</v>
      </c>
    </row>
    <row r="43" spans="1:31" x14ac:dyDescent="0.25">
      <c r="A43" s="95" t="str">
        <f t="shared" si="2"/>
        <v>Welfare</v>
      </c>
      <c r="B43" s="101">
        <f t="shared" ref="B43:Y43" si="21">+B12/52.1429</f>
        <v>37.097445004220575</v>
      </c>
      <c r="C43" s="101">
        <f t="shared" si="21"/>
        <v>34.568644574997649</v>
      </c>
      <c r="D43" s="101">
        <f t="shared" si="21"/>
        <v>35.443712139134668</v>
      </c>
      <c r="E43" s="101">
        <f t="shared" si="21"/>
        <v>37.10281868896724</v>
      </c>
      <c r="F43" s="101">
        <f t="shared" si="21"/>
        <v>38.20846382252919</v>
      </c>
      <c r="G43" s="101">
        <f t="shared" si="21"/>
        <v>37.215000202827532</v>
      </c>
      <c r="H43" s="101">
        <f t="shared" si="21"/>
        <v>39.180243141276421</v>
      </c>
      <c r="I43" s="101">
        <f t="shared" si="21"/>
        <v>38.915909481324704</v>
      </c>
      <c r="J43" s="101">
        <f t="shared" si="21"/>
        <v>39.211127186594219</v>
      </c>
      <c r="K43" s="101">
        <f t="shared" si="21"/>
        <v>39.026405915387237</v>
      </c>
      <c r="L43" s="101">
        <f t="shared" si="21"/>
        <v>39.359038298463794</v>
      </c>
      <c r="M43" s="101">
        <f t="shared" si="21"/>
        <v>39.238206616663994</v>
      </c>
      <c r="N43" s="101">
        <f t="shared" si="21"/>
        <v>39.892642111046449</v>
      </c>
      <c r="O43" s="101">
        <f t="shared" si="21"/>
        <v>42.090068198099239</v>
      </c>
      <c r="P43" s="101">
        <f t="shared" si="21"/>
        <v>45.213426936462753</v>
      </c>
      <c r="Q43" s="101">
        <f t="shared" si="21"/>
        <v>47.403218834626173</v>
      </c>
      <c r="R43" s="101">
        <f t="shared" si="21"/>
        <v>51.874414503948749</v>
      </c>
      <c r="S43" s="101">
        <f t="shared" si="21"/>
        <v>56.842087908708521</v>
      </c>
      <c r="T43" s="101">
        <f t="shared" si="21"/>
        <v>57.635208544286826</v>
      </c>
      <c r="U43" s="101">
        <f t="shared" si="21"/>
        <v>54.140866937306427</v>
      </c>
      <c r="V43" s="101">
        <f t="shared" si="21"/>
        <v>53.992683361676946</v>
      </c>
      <c r="W43" s="101">
        <f t="shared" si="21"/>
        <v>52.596592136866391</v>
      </c>
      <c r="X43" s="101">
        <f t="shared" si="21"/>
        <v>49.792240359172467</v>
      </c>
      <c r="Y43" s="101">
        <f t="shared" si="21"/>
        <v>48.278217939920417</v>
      </c>
      <c r="Z43" s="101">
        <f t="shared" ref="Z43:AD43" si="22">+Z12/52.1429</f>
        <v>49.010303056282694</v>
      </c>
      <c r="AA43" s="101">
        <f t="shared" si="22"/>
        <v>49.113483886764818</v>
      </c>
      <c r="AB43" s="101">
        <f t="shared" si="22"/>
        <v>55.465649986252025</v>
      </c>
      <c r="AC43" s="101">
        <f t="shared" si="22"/>
        <v>55.446524724032273</v>
      </c>
      <c r="AD43" s="101">
        <f t="shared" si="22"/>
        <v>55.915389399674233</v>
      </c>
      <c r="AE43" s="101">
        <f t="shared" ref="AE43" si="23">+AE12/52.1429</f>
        <v>56.479692916842197</v>
      </c>
    </row>
    <row r="44" spans="1:31" x14ac:dyDescent="0.25">
      <c r="A44" s="95" t="str">
        <f t="shared" si="2"/>
        <v>NZ super</v>
      </c>
      <c r="B44" s="101">
        <f t="shared" ref="B44:Y44" si="24">+B13/52.1429</f>
        <v>27.708120155707761</v>
      </c>
      <c r="C44" s="101">
        <f t="shared" si="24"/>
        <v>26.244898115150416</v>
      </c>
      <c r="D44" s="101">
        <f t="shared" si="24"/>
        <v>25.764882300196117</v>
      </c>
      <c r="E44" s="101">
        <f t="shared" si="24"/>
        <v>25.796305933432201</v>
      </c>
      <c r="F44" s="101">
        <f t="shared" si="24"/>
        <v>25.797882760341672</v>
      </c>
      <c r="G44" s="101">
        <f t="shared" si="24"/>
        <v>25.667944216619937</v>
      </c>
      <c r="H44" s="101">
        <f t="shared" si="24"/>
        <v>25.358393486842722</v>
      </c>
      <c r="I44" s="101">
        <f t="shared" si="24"/>
        <v>25.194919424035973</v>
      </c>
      <c r="J44" s="101">
        <f t="shared" si="24"/>
        <v>26.06002944982497</v>
      </c>
      <c r="K44" s="101">
        <f t="shared" si="24"/>
        <v>26.470928716721897</v>
      </c>
      <c r="L44" s="101">
        <f t="shared" si="24"/>
        <v>26.867960566235059</v>
      </c>
      <c r="M44" s="101">
        <f t="shared" si="24"/>
        <v>27.630491302826051</v>
      </c>
      <c r="N44" s="101">
        <f t="shared" si="24"/>
        <v>28.220367712698629</v>
      </c>
      <c r="O44" s="101">
        <f t="shared" si="24"/>
        <v>29.395219667095873</v>
      </c>
      <c r="P44" s="101">
        <f t="shared" si="24"/>
        <v>30.920208619934858</v>
      </c>
      <c r="Q44" s="101">
        <f t="shared" si="24"/>
        <v>33.081855066657148</v>
      </c>
      <c r="R44" s="101">
        <f t="shared" si="24"/>
        <v>34.517568819262685</v>
      </c>
      <c r="S44" s="101">
        <f t="shared" si="24"/>
        <v>36.542916538440757</v>
      </c>
      <c r="T44" s="101">
        <f t="shared" si="24"/>
        <v>38.627619844102668</v>
      </c>
      <c r="U44" s="101">
        <f t="shared" si="24"/>
        <v>41.697691154543932</v>
      </c>
      <c r="V44" s="101">
        <f t="shared" si="24"/>
        <v>44.187998897070486</v>
      </c>
      <c r="W44" s="101">
        <f t="shared" si="24"/>
        <v>46.409007922834974</v>
      </c>
      <c r="X44" s="101">
        <f t="shared" si="24"/>
        <v>48.369247234593374</v>
      </c>
      <c r="Y44" s="101">
        <f t="shared" si="24"/>
        <v>50.129414209328225</v>
      </c>
      <c r="Z44" s="101">
        <f t="shared" ref="Z44:AD44" si="25">+Z13/52.1429</f>
        <v>52.178710534902876</v>
      </c>
      <c r="AA44" s="101">
        <f t="shared" si="25"/>
        <v>53.749205406458664</v>
      </c>
      <c r="AB44" s="101">
        <f t="shared" si="25"/>
        <v>55.829181648412643</v>
      </c>
      <c r="AC44" s="101">
        <f t="shared" si="25"/>
        <v>58.566726789542621</v>
      </c>
      <c r="AD44" s="101">
        <f t="shared" si="25"/>
        <v>61.143205044928592</v>
      </c>
      <c r="AE44" s="101">
        <f t="shared" ref="AE44" si="26">+AE13/52.1429</f>
        <v>64.224861422604874</v>
      </c>
    </row>
    <row r="45" spans="1:31" x14ac:dyDescent="0.25">
      <c r="A45" s="95" t="str">
        <f t="shared" si="2"/>
        <v>All other</v>
      </c>
      <c r="B45" s="101">
        <f t="shared" ref="B45:Y45" si="27">+B14/52.1429</f>
        <v>16.100728184460699</v>
      </c>
      <c r="C45" s="101">
        <f t="shared" si="27"/>
        <v>6.468624063478595</v>
      </c>
      <c r="D45" s="101">
        <f t="shared" si="27"/>
        <v>8.807480281401487</v>
      </c>
      <c r="E45" s="101">
        <f t="shared" si="27"/>
        <v>9.5273674060399163</v>
      </c>
      <c r="F45" s="101">
        <f t="shared" si="27"/>
        <v>12.202794760569516</v>
      </c>
      <c r="G45" s="101">
        <f t="shared" si="27"/>
        <v>16.141748703401216</v>
      </c>
      <c r="H45" s="101">
        <f t="shared" si="27"/>
        <v>18.487474013184293</v>
      </c>
      <c r="I45" s="101">
        <f t="shared" si="27"/>
        <v>16.057535465595144</v>
      </c>
      <c r="J45" s="101">
        <f t="shared" si="27"/>
        <v>18.834586048413232</v>
      </c>
      <c r="K45" s="101">
        <f t="shared" si="27"/>
        <v>21.502165399803275</v>
      </c>
      <c r="L45" s="101">
        <f t="shared" si="27"/>
        <v>19.286643086361572</v>
      </c>
      <c r="M45" s="101">
        <f t="shared" si="27"/>
        <v>20.817879081446627</v>
      </c>
      <c r="N45" s="101">
        <f t="shared" si="27"/>
        <v>24.945079268647138</v>
      </c>
      <c r="O45" s="101">
        <f t="shared" si="27"/>
        <v>26.489611736173078</v>
      </c>
      <c r="P45" s="101">
        <f t="shared" si="27"/>
        <v>28.377577661467384</v>
      </c>
      <c r="Q45" s="101">
        <f t="shared" si="27"/>
        <v>35.949729546442207</v>
      </c>
      <c r="R45" s="101">
        <f t="shared" si="27"/>
        <v>36.679374201150907</v>
      </c>
      <c r="S45" s="101">
        <f t="shared" si="27"/>
        <v>33.880441075326381</v>
      </c>
      <c r="T45" s="101">
        <f t="shared" si="27"/>
        <v>40.342458686558871</v>
      </c>
      <c r="U45" s="101">
        <f t="shared" si="27"/>
        <v>31.134044021485437</v>
      </c>
      <c r="V45" s="101">
        <f t="shared" si="27"/>
        <v>31.905159926658609</v>
      </c>
      <c r="W45" s="101">
        <f t="shared" si="27"/>
        <v>32.124406290579621</v>
      </c>
      <c r="X45" s="101">
        <f t="shared" si="27"/>
        <v>31.339232743662862</v>
      </c>
      <c r="Y45" s="101">
        <f t="shared" si="27"/>
        <v>31.458077001989786</v>
      </c>
      <c r="Z45" s="101">
        <f t="shared" ref="Z45:AD45" si="28">+Z14/52.1429</f>
        <v>32.092127264508996</v>
      </c>
      <c r="AA45" s="101">
        <f t="shared" si="28"/>
        <v>37.282367641846456</v>
      </c>
      <c r="AB45" s="101">
        <f t="shared" si="28"/>
        <v>35.63770496606557</v>
      </c>
      <c r="AC45" s="101">
        <f t="shared" si="28"/>
        <v>34.802840642685091</v>
      </c>
      <c r="AD45" s="101">
        <f t="shared" si="28"/>
        <v>36.956548234836937</v>
      </c>
      <c r="AE45" s="101">
        <f t="shared" ref="AE45" si="29">+AE14/52.1429</f>
        <v>35.727712784647117</v>
      </c>
    </row>
    <row r="46" spans="1:31" x14ac:dyDescent="0.25">
      <c r="A46" s="95" t="str">
        <f t="shared" si="2"/>
        <v>Total core Crown expenses excluding losses</v>
      </c>
      <c r="B46" s="101">
        <f t="shared" ref="B46:Y46" si="30">+B15/52.1429</f>
        <v>168.73283964968834</v>
      </c>
      <c r="C46" s="101">
        <f t="shared" si="30"/>
        <v>157.02174333942838</v>
      </c>
      <c r="D46" s="101">
        <f t="shared" si="30"/>
        <v>158.71215207741861</v>
      </c>
      <c r="E46" s="101">
        <f t="shared" si="30"/>
        <v>163.12147981117857</v>
      </c>
      <c r="F46" s="101">
        <f t="shared" si="30"/>
        <v>167.13162749170709</v>
      </c>
      <c r="G46" s="101">
        <f t="shared" si="30"/>
        <v>171.97924786423513</v>
      </c>
      <c r="H46" s="101">
        <f t="shared" si="30"/>
        <v>179.14897390379423</v>
      </c>
      <c r="I46" s="101">
        <f t="shared" si="30"/>
        <v>179.8195403486198</v>
      </c>
      <c r="J46" s="101">
        <f t="shared" si="30"/>
        <v>181.37246743393263</v>
      </c>
      <c r="K46" s="101">
        <f t="shared" si="30"/>
        <v>184.42223181173037</v>
      </c>
      <c r="L46" s="101">
        <f t="shared" si="30"/>
        <v>189.99486400409077</v>
      </c>
      <c r="M46" s="101">
        <f t="shared" si="30"/>
        <v>196.50538915689603</v>
      </c>
      <c r="N46" s="101">
        <f t="shared" si="30"/>
        <v>208.27772619786373</v>
      </c>
      <c r="O46" s="101">
        <f t="shared" si="30"/>
        <v>226.03246554118621</v>
      </c>
      <c r="P46" s="101">
        <f t="shared" si="30"/>
        <v>245.19589223235567</v>
      </c>
      <c r="Q46" s="101">
        <f t="shared" si="30"/>
        <v>256.60948465354619</v>
      </c>
      <c r="R46" s="101">
        <f t="shared" si="30"/>
        <v>285.27807845692797</v>
      </c>
      <c r="S46" s="101">
        <f t="shared" si="30"/>
        <v>282.1739102985776</v>
      </c>
      <c r="T46" s="101">
        <f t="shared" si="30"/>
        <v>308.18978686489618</v>
      </c>
      <c r="U46" s="101">
        <f t="shared" si="30"/>
        <v>300.53315047905647</v>
      </c>
      <c r="V46" s="101">
        <f t="shared" si="30"/>
        <v>303.53507088006228</v>
      </c>
      <c r="W46" s="101">
        <f t="shared" si="30"/>
        <v>303.92307974170689</v>
      </c>
      <c r="X46" s="101">
        <f t="shared" si="30"/>
        <v>301.9708254367078</v>
      </c>
      <c r="Y46" s="101">
        <f t="shared" si="30"/>
        <v>302.11277925176705</v>
      </c>
      <c r="Z46" s="101">
        <f t="shared" ref="Z46:AD46" si="31">+Z15/52.1429</f>
        <v>305.39527589695246</v>
      </c>
      <c r="AA46" s="101">
        <f t="shared" si="31"/>
        <v>321.05222158402114</v>
      </c>
      <c r="AB46" s="101">
        <f t="shared" si="31"/>
        <v>333.78394359318361</v>
      </c>
      <c r="AC46" s="101">
        <f t="shared" si="31"/>
        <v>340.09439628472188</v>
      </c>
      <c r="AD46" s="101">
        <f t="shared" si="31"/>
        <v>349.502279262797</v>
      </c>
      <c r="AE46" s="101">
        <f t="shared" ref="AE46" si="32">+AE15/52.1429</f>
        <v>355.39024519653572</v>
      </c>
    </row>
    <row r="47" spans="1:31" x14ac:dyDescent="0.25">
      <c r="A47" s="97"/>
      <c r="B47" s="97"/>
      <c r="C47" s="97"/>
      <c r="D47" s="97"/>
      <c r="E47" s="97"/>
      <c r="F47" s="97"/>
      <c r="G47" s="97"/>
      <c r="H47" s="97"/>
      <c r="I47" s="97"/>
      <c r="J47" s="97"/>
      <c r="K47" s="97"/>
      <c r="L47" s="97"/>
      <c r="M47" s="97"/>
      <c r="N47" s="97"/>
      <c r="O47" s="97"/>
      <c r="P47" s="97"/>
      <c r="Q47" s="97"/>
      <c r="R47" s="97"/>
      <c r="S47" s="97"/>
      <c r="T47" s="97"/>
      <c r="U47" s="97"/>
      <c r="V47" s="97"/>
      <c r="W47" s="97"/>
      <c r="X47" s="97"/>
      <c r="Y47" s="97"/>
    </row>
    <row r="49" spans="1:31" x14ac:dyDescent="0.25">
      <c r="A49" s="82" t="s">
        <v>55</v>
      </c>
      <c r="N49" s="99"/>
      <c r="O49" s="99"/>
      <c r="P49" s="99"/>
    </row>
    <row r="50" spans="1:31" x14ac:dyDescent="0.25">
      <c r="A50" s="193" t="s">
        <v>0</v>
      </c>
      <c r="B50" s="84">
        <v>34121</v>
      </c>
      <c r="C50" s="85">
        <v>34486</v>
      </c>
      <c r="D50" s="85">
        <v>34851</v>
      </c>
      <c r="E50" s="85">
        <v>35217</v>
      </c>
      <c r="F50" s="85">
        <v>35582</v>
      </c>
      <c r="G50" s="85">
        <v>35947</v>
      </c>
      <c r="H50" s="85">
        <v>36312</v>
      </c>
      <c r="I50" s="85">
        <v>36678</v>
      </c>
      <c r="J50" s="85">
        <v>37043</v>
      </c>
      <c r="K50" s="85">
        <v>37408</v>
      </c>
      <c r="L50" s="85">
        <v>37773</v>
      </c>
      <c r="M50" s="85">
        <v>38139</v>
      </c>
      <c r="N50" s="85">
        <v>38504</v>
      </c>
      <c r="O50" s="85">
        <v>38869</v>
      </c>
      <c r="P50" s="85">
        <v>39234</v>
      </c>
      <c r="Q50" s="85">
        <v>39600</v>
      </c>
      <c r="R50" s="85">
        <v>39965</v>
      </c>
      <c r="S50" s="85">
        <v>40330</v>
      </c>
      <c r="T50" s="85">
        <v>40695</v>
      </c>
      <c r="U50" s="85">
        <v>41061</v>
      </c>
      <c r="V50" s="85">
        <v>41426</v>
      </c>
      <c r="W50" s="85">
        <v>41791</v>
      </c>
      <c r="X50" s="85">
        <v>42156</v>
      </c>
      <c r="Y50" s="86">
        <f>+Y32</f>
        <v>42522</v>
      </c>
      <c r="Z50" s="86">
        <f t="shared" ref="Z50:AD50" si="33">+Z32</f>
        <v>42887</v>
      </c>
      <c r="AA50" s="86">
        <f t="shared" si="33"/>
        <v>43252</v>
      </c>
      <c r="AB50" s="86">
        <f t="shared" si="33"/>
        <v>43617</v>
      </c>
      <c r="AC50" s="86">
        <f t="shared" si="33"/>
        <v>43983</v>
      </c>
      <c r="AD50" s="86">
        <f t="shared" si="33"/>
        <v>44348</v>
      </c>
      <c r="AE50" s="86">
        <f t="shared" ref="AE50" si="34">+AE32</f>
        <v>44713</v>
      </c>
    </row>
    <row r="51" spans="1:31" x14ac:dyDescent="0.25">
      <c r="A51" s="194"/>
      <c r="B51" s="88" t="s">
        <v>56</v>
      </c>
      <c r="C51" s="88" t="s">
        <v>56</v>
      </c>
      <c r="D51" s="88" t="s">
        <v>56</v>
      </c>
      <c r="E51" s="88" t="s">
        <v>56</v>
      </c>
      <c r="F51" s="88" t="s">
        <v>56</v>
      </c>
      <c r="G51" s="88" t="s">
        <v>56</v>
      </c>
      <c r="H51" s="88" t="s">
        <v>56</v>
      </c>
      <c r="I51" s="88" t="s">
        <v>56</v>
      </c>
      <c r="J51" s="88" t="s">
        <v>56</v>
      </c>
      <c r="K51" s="88" t="s">
        <v>56</v>
      </c>
      <c r="L51" s="88" t="s">
        <v>56</v>
      </c>
      <c r="M51" s="88" t="s">
        <v>56</v>
      </c>
      <c r="N51" s="88" t="s">
        <v>56</v>
      </c>
      <c r="O51" s="88" t="s">
        <v>56</v>
      </c>
      <c r="P51" s="88" t="s">
        <v>56</v>
      </c>
      <c r="Q51" s="88" t="s">
        <v>56</v>
      </c>
      <c r="R51" s="88" t="s">
        <v>56</v>
      </c>
      <c r="S51" s="88" t="s">
        <v>56</v>
      </c>
      <c r="T51" s="88" t="s">
        <v>56</v>
      </c>
      <c r="U51" s="88" t="s">
        <v>56</v>
      </c>
      <c r="V51" s="88" t="s">
        <v>56</v>
      </c>
      <c r="W51" s="88" t="s">
        <v>56</v>
      </c>
      <c r="X51" s="88" t="s">
        <v>56</v>
      </c>
      <c r="Y51" s="88" t="s">
        <v>56</v>
      </c>
      <c r="Z51" s="88" t="s">
        <v>56</v>
      </c>
      <c r="AA51" s="88" t="s">
        <v>56</v>
      </c>
      <c r="AB51" s="88" t="s">
        <v>56</v>
      </c>
      <c r="AC51" s="88" t="s">
        <v>56</v>
      </c>
      <c r="AD51" s="88" t="s">
        <v>56</v>
      </c>
      <c r="AE51" s="88" t="s">
        <v>56</v>
      </c>
    </row>
    <row r="52" spans="1:31" ht="30" x14ac:dyDescent="0.25">
      <c r="A52" s="194"/>
      <c r="B52" s="106" t="s">
        <v>57</v>
      </c>
      <c r="C52" s="106" t="s">
        <v>57</v>
      </c>
      <c r="D52" s="106" t="s">
        <v>57</v>
      </c>
      <c r="E52" s="106" t="s">
        <v>57</v>
      </c>
      <c r="F52" s="106" t="s">
        <v>57</v>
      </c>
      <c r="G52" s="106" t="s">
        <v>57</v>
      </c>
      <c r="H52" s="106" t="s">
        <v>57</v>
      </c>
      <c r="I52" s="106" t="s">
        <v>57</v>
      </c>
      <c r="J52" s="106" t="s">
        <v>57</v>
      </c>
      <c r="K52" s="106" t="s">
        <v>57</v>
      </c>
      <c r="L52" s="106" t="s">
        <v>57</v>
      </c>
      <c r="M52" s="106" t="s">
        <v>57</v>
      </c>
      <c r="N52" s="106" t="s">
        <v>57</v>
      </c>
      <c r="O52" s="106" t="s">
        <v>57</v>
      </c>
      <c r="P52" s="106" t="s">
        <v>57</v>
      </c>
      <c r="Q52" s="106" t="s">
        <v>57</v>
      </c>
      <c r="R52" s="106" t="s">
        <v>57</v>
      </c>
      <c r="S52" s="106" t="s">
        <v>57</v>
      </c>
      <c r="T52" s="106" t="s">
        <v>57</v>
      </c>
      <c r="U52" s="106" t="s">
        <v>57</v>
      </c>
      <c r="V52" s="106" t="s">
        <v>57</v>
      </c>
      <c r="W52" s="106" t="s">
        <v>57</v>
      </c>
      <c r="X52" s="106" t="s">
        <v>57</v>
      </c>
      <c r="Y52" s="106" t="s">
        <v>57</v>
      </c>
      <c r="Z52" s="106" t="s">
        <v>57</v>
      </c>
      <c r="AA52" s="106" t="s">
        <v>57</v>
      </c>
      <c r="AB52" s="106" t="s">
        <v>57</v>
      </c>
      <c r="AC52" s="106" t="s">
        <v>57</v>
      </c>
      <c r="AD52" s="106" t="s">
        <v>57</v>
      </c>
      <c r="AE52" s="106" t="s">
        <v>57</v>
      </c>
    </row>
    <row r="53" spans="1:31" x14ac:dyDescent="0.25">
      <c r="A53" s="91" t="s">
        <v>26</v>
      </c>
      <c r="B53" s="92"/>
      <c r="C53" s="93"/>
      <c r="D53" s="93"/>
      <c r="E53" s="93"/>
      <c r="F53" s="93"/>
      <c r="G53" s="93"/>
      <c r="H53" s="93"/>
      <c r="I53" s="93"/>
      <c r="J53" s="93"/>
      <c r="K53" s="93"/>
      <c r="L53" s="93"/>
      <c r="M53" s="93"/>
      <c r="N53" s="93"/>
      <c r="O53" s="93"/>
      <c r="P53" s="93"/>
      <c r="Q53" s="93"/>
      <c r="R53" s="93"/>
      <c r="S53" s="93"/>
      <c r="T53" s="93"/>
      <c r="U53" s="93"/>
      <c r="V53" s="93"/>
      <c r="W53" s="93"/>
      <c r="X53" s="93"/>
      <c r="Y53" s="94"/>
    </row>
    <row r="54" spans="1:31" x14ac:dyDescent="0.25">
      <c r="A54" s="95" t="str">
        <f>+A37</f>
        <v>Core govt services</v>
      </c>
      <c r="B54" s="102">
        <f>+B37/B$46</f>
        <v>4.6581182983868395E-2</v>
      </c>
      <c r="C54" s="102">
        <f t="shared" ref="C54:Y63" si="35">+C37/C$46</f>
        <v>5.8132865481291547E-2</v>
      </c>
      <c r="D54" s="102">
        <f t="shared" si="35"/>
        <v>4.4078947368421051E-2</v>
      </c>
      <c r="E54" s="102">
        <f t="shared" si="35"/>
        <v>4.9302208360898457E-2</v>
      </c>
      <c r="F54" s="102">
        <f t="shared" si="35"/>
        <v>5.0587199951446005E-2</v>
      </c>
      <c r="G54" s="102">
        <f t="shared" si="35"/>
        <v>4.5657829353132041E-2</v>
      </c>
      <c r="H54" s="102">
        <f t="shared" si="35"/>
        <v>4.759246336357293E-2</v>
      </c>
      <c r="I54" s="102">
        <f t="shared" si="35"/>
        <v>4.7275441652152285E-2</v>
      </c>
      <c r="J54" s="102">
        <f t="shared" si="35"/>
        <v>4.8993160576582463E-2</v>
      </c>
      <c r="K54" s="102">
        <f t="shared" si="35"/>
        <v>4.0558335528048453E-2</v>
      </c>
      <c r="L54" s="102">
        <f t="shared" si="35"/>
        <v>5.3387472742311447E-2</v>
      </c>
      <c r="M54" s="102">
        <f t="shared" si="35"/>
        <v>4.9925982522324629E-2</v>
      </c>
      <c r="N54" s="102">
        <f t="shared" si="35"/>
        <v>5.7177859449827367E-2</v>
      </c>
      <c r="O54" s="102">
        <f t="shared" si="35"/>
        <v>5.0831305758313051E-2</v>
      </c>
      <c r="P54" s="102">
        <f t="shared" si="35"/>
        <v>8.9180230727922513E-2</v>
      </c>
      <c r="Q54" s="102">
        <f t="shared" si="35"/>
        <v>5.9143463691071464E-2</v>
      </c>
      <c r="R54" s="102">
        <f t="shared" si="35"/>
        <v>8.2700540608106013E-2</v>
      </c>
      <c r="S54" s="102">
        <f t="shared" si="35"/>
        <v>4.6459312952056624E-2</v>
      </c>
      <c r="T54" s="102">
        <f t="shared" si="35"/>
        <v>7.8963804116394601E-2</v>
      </c>
      <c r="U54" s="102">
        <f t="shared" si="35"/>
        <v>7.8580114656320574E-2</v>
      </c>
      <c r="V54" s="102">
        <f t="shared" si="35"/>
        <v>6.1075868346940516E-2</v>
      </c>
      <c r="W54" s="102">
        <f t="shared" si="35"/>
        <v>6.2994109169266926E-2</v>
      </c>
      <c r="X54" s="102">
        <f t="shared" si="35"/>
        <v>5.7128643091082461E-2</v>
      </c>
      <c r="Y54" s="102">
        <f t="shared" si="35"/>
        <v>5.5485668682113923E-2</v>
      </c>
      <c r="Z54" s="102">
        <f t="shared" ref="Z54:AD54" si="36">+Z37/Z$46</f>
        <v>5.1834579965679396E-2</v>
      </c>
      <c r="AA54" s="102">
        <f t="shared" si="36"/>
        <v>6.5619144428251272E-2</v>
      </c>
      <c r="AB54" s="102">
        <f t="shared" si="36"/>
        <v>5.7051490012513327E-2</v>
      </c>
      <c r="AC54" s="102">
        <f t="shared" si="36"/>
        <v>5.6628532974427992E-2</v>
      </c>
      <c r="AD54" s="102">
        <f t="shared" si="36"/>
        <v>5.4072708056984484E-2</v>
      </c>
      <c r="AE54" s="102">
        <f t="shared" ref="AE54" si="37">+AE37/AE$46</f>
        <v>5.4215982540082266E-2</v>
      </c>
    </row>
    <row r="55" spans="1:31" x14ac:dyDescent="0.25">
      <c r="A55" s="95" t="str">
        <f t="shared" ref="A55:A63" si="38">+A38</f>
        <v>Defence</v>
      </c>
      <c r="B55" s="102">
        <f t="shared" ref="B55:Q63" si="39">+B38/B$46</f>
        <v>3.7322218333386357E-2</v>
      </c>
      <c r="C55" s="102">
        <f t="shared" si="39"/>
        <v>3.5392557103815919E-2</v>
      </c>
      <c r="D55" s="102">
        <f t="shared" si="39"/>
        <v>3.3322368421052628E-2</v>
      </c>
      <c r="E55" s="102">
        <f t="shared" si="39"/>
        <v>3.0557918281195848E-2</v>
      </c>
      <c r="F55" s="102">
        <f t="shared" si="39"/>
        <v>2.8707553181804391E-2</v>
      </c>
      <c r="G55" s="102">
        <f t="shared" si="39"/>
        <v>3.1130338195317298E-2</v>
      </c>
      <c r="H55" s="102">
        <f t="shared" si="39"/>
        <v>2.8750872295882763E-2</v>
      </c>
      <c r="I55" s="102">
        <f t="shared" si="39"/>
        <v>3.4475132011832679E-2</v>
      </c>
      <c r="J55" s="102">
        <f t="shared" si="39"/>
        <v>3.3842884002288888E-2</v>
      </c>
      <c r="K55" s="102">
        <f t="shared" si="39"/>
        <v>3.060310771661838E-2</v>
      </c>
      <c r="L55" s="102">
        <f t="shared" si="39"/>
        <v>3.0052384891094564E-2</v>
      </c>
      <c r="M55" s="102">
        <f t="shared" si="39"/>
        <v>3.1302230074972542E-2</v>
      </c>
      <c r="N55" s="102">
        <f t="shared" si="39"/>
        <v>2.8399599064483794E-2</v>
      </c>
      <c r="O55" s="102">
        <f t="shared" si="39"/>
        <v>2.8041362530413623E-2</v>
      </c>
      <c r="P55" s="102">
        <f t="shared" si="39"/>
        <v>2.809103197970483E-2</v>
      </c>
      <c r="Q55" s="102">
        <f t="shared" si="39"/>
        <v>2.7404951137779181E-2</v>
      </c>
      <c r="R55" s="102">
        <f t="shared" si="35"/>
        <v>2.745226711665261E-2</v>
      </c>
      <c r="S55" s="102">
        <f t="shared" si="35"/>
        <v>2.8337993845000239E-2</v>
      </c>
      <c r="T55" s="102">
        <f t="shared" si="35"/>
        <v>2.5677785663591197E-2</v>
      </c>
      <c r="U55" s="102">
        <f t="shared" si="35"/>
        <v>2.5131738954195376E-2</v>
      </c>
      <c r="V55" s="102">
        <f t="shared" si="35"/>
        <v>2.5659260945011808E-2</v>
      </c>
      <c r="W55" s="102">
        <f t="shared" si="35"/>
        <v>2.5340366882617149E-2</v>
      </c>
      <c r="X55" s="102">
        <f t="shared" si="35"/>
        <v>2.7099484543205786E-2</v>
      </c>
      <c r="Y55" s="102">
        <f t="shared" si="35"/>
        <v>2.7404672050210334E-2</v>
      </c>
      <c r="Z55" s="102">
        <f t="shared" ref="Z55:AD55" si="40">+Z38/Z$46</f>
        <v>2.8111450241685109E-2</v>
      </c>
      <c r="AA55" s="102">
        <f t="shared" si="40"/>
        <v>2.773933597050935E-2</v>
      </c>
      <c r="AB55" s="102">
        <f t="shared" si="40"/>
        <v>2.8409880891690227E-2</v>
      </c>
      <c r="AC55" s="102">
        <f t="shared" si="40"/>
        <v>2.8589053387169137E-2</v>
      </c>
      <c r="AD55" s="102">
        <f t="shared" si="40"/>
        <v>2.8492240663452933E-2</v>
      </c>
      <c r="AE55" s="102">
        <f t="shared" ref="AE55" si="41">+AE38/AE$46</f>
        <v>2.8613699320070515E-2</v>
      </c>
    </row>
    <row r="56" spans="1:31" x14ac:dyDescent="0.25">
      <c r="A56" s="95" t="str">
        <f t="shared" si="38"/>
        <v>Education</v>
      </c>
      <c r="B56" s="102">
        <f t="shared" si="39"/>
        <v>0.14442075789875591</v>
      </c>
      <c r="C56" s="102">
        <f t="shared" si="35"/>
        <v>0.15611187961807083</v>
      </c>
      <c r="D56" s="102">
        <f t="shared" si="35"/>
        <v>0.15799342105263159</v>
      </c>
      <c r="E56" s="102">
        <f t="shared" si="35"/>
        <v>0.15590838925117345</v>
      </c>
      <c r="F56" s="102">
        <f t="shared" si="35"/>
        <v>0.16189724759505966</v>
      </c>
      <c r="G56" s="102">
        <f t="shared" si="35"/>
        <v>0.16702230276811553</v>
      </c>
      <c r="H56" s="102">
        <f t="shared" si="35"/>
        <v>0.16466154919748779</v>
      </c>
      <c r="I56" s="102">
        <f t="shared" si="35"/>
        <v>0.17444914434215258</v>
      </c>
      <c r="J56" s="102">
        <f t="shared" si="35"/>
        <v>0.16719801629472192</v>
      </c>
      <c r="K56" s="102">
        <f t="shared" si="35"/>
        <v>0.17047669212536212</v>
      </c>
      <c r="L56" s="102">
        <f t="shared" si="35"/>
        <v>0.17585282101411134</v>
      </c>
      <c r="M56" s="102">
        <f t="shared" si="35"/>
        <v>0.18110405424764814</v>
      </c>
      <c r="N56" s="102">
        <f t="shared" si="35"/>
        <v>0.17663436908341684</v>
      </c>
      <c r="O56" s="102">
        <f t="shared" si="35"/>
        <v>0.20101378751013788</v>
      </c>
      <c r="P56" s="102">
        <f t="shared" si="35"/>
        <v>0.17163861266966648</v>
      </c>
      <c r="Q56" s="102">
        <f t="shared" si="35"/>
        <v>0.16757022299419266</v>
      </c>
      <c r="R56" s="102">
        <f t="shared" si="35"/>
        <v>0.17897878191306524</v>
      </c>
      <c r="S56" s="102">
        <f t="shared" si="35"/>
        <v>0.18315029759580087</v>
      </c>
      <c r="T56" s="102">
        <f t="shared" si="35"/>
        <v>0.16536550745209366</v>
      </c>
      <c r="U56" s="102">
        <f t="shared" si="35"/>
        <v>0.16871272221900513</v>
      </c>
      <c r="V56" s="102">
        <f t="shared" si="35"/>
        <v>0.17785110801354079</v>
      </c>
      <c r="W56" s="102">
        <f t="shared" si="35"/>
        <v>0.17210740621545606</v>
      </c>
      <c r="X56" s="102">
        <f t="shared" si="35"/>
        <v>0.17797769578375688</v>
      </c>
      <c r="Y56" s="102">
        <f t="shared" si="35"/>
        <v>0.1779815769183947</v>
      </c>
      <c r="Z56" s="102">
        <f t="shared" ref="Z56:AD56" si="42">+Z39/Z$46</f>
        <v>0.17397398446403542</v>
      </c>
      <c r="AA56" s="102">
        <f t="shared" si="42"/>
        <v>0.17203287080695137</v>
      </c>
      <c r="AB56" s="102">
        <f t="shared" si="42"/>
        <v>0.17636835519302962</v>
      </c>
      <c r="AC56" s="102">
        <f t="shared" si="42"/>
        <v>0.17904890085240019</v>
      </c>
      <c r="AD56" s="102">
        <f t="shared" si="42"/>
        <v>0.18109072869822165</v>
      </c>
      <c r="AE56" s="102">
        <f t="shared" ref="AE56" si="43">+AE39/AE$46</f>
        <v>0.18221690590111647</v>
      </c>
    </row>
    <row r="57" spans="1:31" x14ac:dyDescent="0.25">
      <c r="A57" s="95" t="str">
        <f t="shared" si="38"/>
        <v>Finance costs</v>
      </c>
      <c r="B57" s="102">
        <f t="shared" si="39"/>
        <v>0.12603009958955105</v>
      </c>
      <c r="C57" s="102">
        <f t="shared" si="35"/>
        <v>0.12780458180100543</v>
      </c>
      <c r="D57" s="102">
        <f t="shared" si="35"/>
        <v>0.12358552631578947</v>
      </c>
      <c r="E57" s="102">
        <f t="shared" si="35"/>
        <v>0.1166556406136786</v>
      </c>
      <c r="F57" s="102">
        <f t="shared" si="35"/>
        <v>9.322368221406245E-2</v>
      </c>
      <c r="G57" s="102">
        <f t="shared" si="35"/>
        <v>8.1961942065417556E-2</v>
      </c>
      <c r="H57" s="102">
        <f t="shared" si="35"/>
        <v>7.0230286113049559E-2</v>
      </c>
      <c r="I57" s="102">
        <f t="shared" si="35"/>
        <v>6.5605042713776235E-2</v>
      </c>
      <c r="J57" s="102">
        <f t="shared" si="35"/>
        <v>6.2781002207144596E-2</v>
      </c>
      <c r="K57" s="102">
        <f t="shared" si="35"/>
        <v>5.5780879641822483E-2</v>
      </c>
      <c r="L57" s="102">
        <f t="shared" si="35"/>
        <v>5.9152317216833339E-2</v>
      </c>
      <c r="M57" s="102">
        <f t="shared" si="35"/>
        <v>5.3770116040303705E-2</v>
      </c>
      <c r="N57" s="102">
        <f t="shared" si="35"/>
        <v>5.0651520213832263E-2</v>
      </c>
      <c r="O57" s="102">
        <f t="shared" si="35"/>
        <v>4.7769667477696676E-2</v>
      </c>
      <c r="P57" s="102">
        <f t="shared" si="35"/>
        <v>4.3127233672203398E-2</v>
      </c>
      <c r="Q57" s="102">
        <f t="shared" si="35"/>
        <v>4.3160166324543399E-2</v>
      </c>
      <c r="R57" s="102">
        <f t="shared" si="35"/>
        <v>3.7951939001906194E-2</v>
      </c>
      <c r="S57" s="102">
        <f t="shared" si="35"/>
        <v>3.6102041772764909E-2</v>
      </c>
      <c r="T57" s="102">
        <f t="shared" si="35"/>
        <v>4.3520227111426543E-2</v>
      </c>
      <c r="U57" s="102">
        <f t="shared" si="35"/>
        <v>5.0828073426370954E-2</v>
      </c>
      <c r="V57" s="102">
        <f t="shared" si="35"/>
        <v>5.1474980798224906E-2</v>
      </c>
      <c r="W57" s="102">
        <f t="shared" si="35"/>
        <v>5.0652748821134234E-2</v>
      </c>
      <c r="X57" s="102">
        <f t="shared" si="35"/>
        <v>5.2278097922971688E-2</v>
      </c>
      <c r="Y57" s="102">
        <f t="shared" si="35"/>
        <v>4.8560104965575085E-2</v>
      </c>
      <c r="Z57" s="102">
        <f t="shared" ref="Z57:AD57" si="44">+Z40/Z$46</f>
        <v>4.6293506595580243E-2</v>
      </c>
      <c r="AA57" s="102">
        <f t="shared" si="44"/>
        <v>4.3023526386048283E-2</v>
      </c>
      <c r="AB57" s="102">
        <f t="shared" si="44"/>
        <v>4.0088983639987023E-2</v>
      </c>
      <c r="AC57" s="102">
        <f t="shared" si="44"/>
        <v>3.8716913414087027E-2</v>
      </c>
      <c r="AD57" s="102">
        <f t="shared" si="44"/>
        <v>3.7831483818089658E-2</v>
      </c>
      <c r="AE57" s="102">
        <f t="shared" ref="AE57" si="45">+AE40/AE$46</f>
        <v>3.4668009737261821E-2</v>
      </c>
    </row>
    <row r="58" spans="1:31" x14ac:dyDescent="0.25">
      <c r="A58" s="95" t="str">
        <f t="shared" si="38"/>
        <v>Health</v>
      </c>
      <c r="B58" s="102">
        <f t="shared" si="39"/>
        <v>0.13261637341308982</v>
      </c>
      <c r="C58" s="102">
        <f t="shared" si="35"/>
        <v>0.15526839636964812</v>
      </c>
      <c r="D58" s="102">
        <f t="shared" si="35"/>
        <v>0.16072368421052632</v>
      </c>
      <c r="E58" s="102">
        <f t="shared" si="35"/>
        <v>0.16469772863308443</v>
      </c>
      <c r="F58" s="102">
        <f t="shared" si="35"/>
        <v>0.17072800655479017</v>
      </c>
      <c r="G58" s="102">
        <f t="shared" si="35"/>
        <v>0.17541141738037475</v>
      </c>
      <c r="H58" s="102">
        <f t="shared" si="35"/>
        <v>0.18347522679692954</v>
      </c>
      <c r="I58" s="102">
        <f t="shared" si="35"/>
        <v>0.19004174615023084</v>
      </c>
      <c r="J58" s="102">
        <f t="shared" si="35"/>
        <v>0.18147633450502737</v>
      </c>
      <c r="K58" s="102">
        <f t="shared" si="35"/>
        <v>0.18519884119041349</v>
      </c>
      <c r="L58" s="102">
        <f t="shared" si="35"/>
        <v>0.18800912349299445</v>
      </c>
      <c r="M58" s="102">
        <f t="shared" si="35"/>
        <v>0.19366314884675995</v>
      </c>
      <c r="N58" s="102">
        <f t="shared" si="35"/>
        <v>0.19630248357278091</v>
      </c>
      <c r="O58" s="102">
        <f t="shared" si="35"/>
        <v>0.19357258718572584</v>
      </c>
      <c r="P58" s="102">
        <f t="shared" si="35"/>
        <v>0.19174860655889486</v>
      </c>
      <c r="Q58" s="102">
        <f t="shared" si="35"/>
        <v>0.19820341421478327</v>
      </c>
      <c r="R58" s="102">
        <f t="shared" si="35"/>
        <v>0.19324396112621481</v>
      </c>
      <c r="S58" s="102">
        <f t="shared" si="35"/>
        <v>0.20508334244606566</v>
      </c>
      <c r="T58" s="102">
        <f t="shared" si="35"/>
        <v>0.1952164655784244</v>
      </c>
      <c r="U58" s="102">
        <f t="shared" si="35"/>
        <v>0.20499160345127107</v>
      </c>
      <c r="V58" s="102">
        <f t="shared" si="35"/>
        <v>0.20621284100930221</v>
      </c>
      <c r="W58" s="102">
        <f t="shared" si="35"/>
        <v>0.20845984860145239</v>
      </c>
      <c r="X58" s="102">
        <f t="shared" si="35"/>
        <v>0.20808976963365258</v>
      </c>
      <c r="Y58" s="102">
        <f t="shared" si="35"/>
        <v>0.21136495827077331</v>
      </c>
      <c r="Z58" s="102">
        <f t="shared" ref="Z58:AD58" si="46">+Z41/Z$46</f>
        <v>0.21251260823432319</v>
      </c>
      <c r="AA58" s="102">
        <f t="shared" si="46"/>
        <v>0.20545479039349443</v>
      </c>
      <c r="AB58" s="102">
        <f t="shared" si="46"/>
        <v>0.20773277100616397</v>
      </c>
      <c r="AC58" s="102">
        <f t="shared" si="46"/>
        <v>0.20872588604755499</v>
      </c>
      <c r="AD58" s="102">
        <f t="shared" si="46"/>
        <v>0.20710256990951934</v>
      </c>
      <c r="AE58" s="102">
        <f t="shared" ref="AE58" si="47">+AE41/AE$46</f>
        <v>0.20905733232603041</v>
      </c>
    </row>
    <row r="59" spans="1:31" x14ac:dyDescent="0.25">
      <c r="A59" s="95" t="str">
        <f t="shared" si="38"/>
        <v>Law and order</v>
      </c>
      <c r="B59" s="102">
        <f t="shared" si="39"/>
        <v>3.3535906328550066E-2</v>
      </c>
      <c r="C59" s="102">
        <f t="shared" si="35"/>
        <v>3.8800229427443572E-2</v>
      </c>
      <c r="D59" s="102">
        <f t="shared" si="35"/>
        <v>3.9144736842105267E-2</v>
      </c>
      <c r="E59" s="102">
        <f t="shared" si="35"/>
        <v>3.8874712535047096E-2</v>
      </c>
      <c r="F59" s="102">
        <f t="shared" si="35"/>
        <v>3.8873547173246752E-2</v>
      </c>
      <c r="G59" s="102">
        <f t="shared" si="35"/>
        <v>3.9314840256057991E-2</v>
      </c>
      <c r="H59" s="102">
        <f t="shared" si="35"/>
        <v>4.1842288904396376E-2</v>
      </c>
      <c r="I59" s="102">
        <f t="shared" si="35"/>
        <v>4.2326725830084878E-2</v>
      </c>
      <c r="J59" s="102">
        <f t="shared" si="35"/>
        <v>4.1990244965802878E-2</v>
      </c>
      <c r="K59" s="102">
        <f t="shared" si="35"/>
        <v>4.5641295759810373E-2</v>
      </c>
      <c r="L59" s="102">
        <f t="shared" si="35"/>
        <v>4.3461914429656356E-2</v>
      </c>
      <c r="M59" s="102">
        <f t="shared" si="35"/>
        <v>4.4004584308294729E-2</v>
      </c>
      <c r="N59" s="102">
        <f t="shared" si="35"/>
        <v>4.4036084196458401E-2</v>
      </c>
      <c r="O59" s="102">
        <f t="shared" si="35"/>
        <v>4.5316301703163017E-2</v>
      </c>
      <c r="P59" s="102">
        <f t="shared" si="35"/>
        <v>4.9978704886765556E-2</v>
      </c>
      <c r="Q59" s="102">
        <f t="shared" si="35"/>
        <v>5.0774602172044145E-2</v>
      </c>
      <c r="R59" s="102">
        <f t="shared" si="35"/>
        <v>4.8264116746351678E-2</v>
      </c>
      <c r="S59" s="102">
        <f t="shared" si="35"/>
        <v>4.9849249371221475E-2</v>
      </c>
      <c r="T59" s="102">
        <f t="shared" si="35"/>
        <v>4.8005677785663586E-2</v>
      </c>
      <c r="U59" s="102">
        <f t="shared" si="35"/>
        <v>4.9264578145810416E-2</v>
      </c>
      <c r="V59" s="102">
        <f t="shared" si="35"/>
        <v>4.915654424942395E-2</v>
      </c>
      <c r="W59" s="102">
        <f t="shared" si="35"/>
        <v>4.898764464717982E-2</v>
      </c>
      <c r="X59" s="102">
        <f t="shared" si="35"/>
        <v>4.8574547766123577E-2</v>
      </c>
      <c r="Y59" s="102">
        <f t="shared" si="35"/>
        <v>4.9344641480339249E-2</v>
      </c>
      <c r="Z59" s="102">
        <f t="shared" ref="Z59:AD59" si="48">+Z42/Z$46</f>
        <v>5.0852120148285933E-2</v>
      </c>
      <c r="AA59" s="102">
        <f t="shared" si="48"/>
        <v>4.9612384113259772E-2</v>
      </c>
      <c r="AB59" s="102">
        <f t="shared" si="48"/>
        <v>5.0145988784353716E-2</v>
      </c>
      <c r="AC59" s="102">
        <f t="shared" si="48"/>
        <v>5.0717810677433819E-2</v>
      </c>
      <c r="AD59" s="102">
        <f t="shared" si="48"/>
        <v>5.0740345314741121E-2</v>
      </c>
      <c r="AE59" s="102">
        <f t="shared" ref="AE59" si="49">+AE42/AE$46</f>
        <v>5.1057668093679176E-2</v>
      </c>
    </row>
    <row r="60" spans="1:31" x14ac:dyDescent="0.25">
      <c r="A60" s="95" t="str">
        <f t="shared" si="38"/>
        <v>Welfare</v>
      </c>
      <c r="B60" s="102">
        <f t="shared" si="39"/>
        <v>0.21985906881695211</v>
      </c>
      <c r="C60" s="102">
        <f t="shared" si="35"/>
        <v>0.22015196010320573</v>
      </c>
      <c r="D60" s="102">
        <f t="shared" si="35"/>
        <v>0.22332072040611917</v>
      </c>
      <c r="E60" s="102">
        <f t="shared" si="35"/>
        <v>0.2274551379249112</v>
      </c>
      <c r="F60" s="102">
        <f t="shared" si="35"/>
        <v>0.22861300638279883</v>
      </c>
      <c r="G60" s="102">
        <f t="shared" si="35"/>
        <v>0.2163923884130835</v>
      </c>
      <c r="H60" s="102">
        <f t="shared" si="35"/>
        <v>0.21870202372644801</v>
      </c>
      <c r="I60" s="102">
        <f t="shared" si="35"/>
        <v>0.21641646622985267</v>
      </c>
      <c r="J60" s="102">
        <f t="shared" si="35"/>
        <v>0.21619117687130435</v>
      </c>
      <c r="K60" s="102">
        <f t="shared" si="35"/>
        <v>0.21161443244666839</v>
      </c>
      <c r="L60" s="102">
        <f t="shared" si="35"/>
        <v>0.20715843296488454</v>
      </c>
      <c r="M60" s="102">
        <f t="shared" si="35"/>
        <v>0.19968005348359677</v>
      </c>
      <c r="N60" s="102">
        <f t="shared" si="35"/>
        <v>0.1915358057690166</v>
      </c>
      <c r="O60" s="102">
        <f t="shared" si="35"/>
        <v>0.18621248986212494</v>
      </c>
      <c r="P60" s="102">
        <f t="shared" si="35"/>
        <v>0.18439716312056739</v>
      </c>
      <c r="Q60" s="102">
        <f t="shared" si="35"/>
        <v>0.18472902082565751</v>
      </c>
      <c r="R60" s="102">
        <f t="shared" si="35"/>
        <v>0.18183806756038876</v>
      </c>
      <c r="S60" s="102">
        <f t="shared" si="35"/>
        <v>0.20144345679783796</v>
      </c>
      <c r="T60" s="102">
        <f t="shared" si="35"/>
        <v>0.18701206529453512</v>
      </c>
      <c r="U60" s="102">
        <f t="shared" si="35"/>
        <v>0.18014940066014246</v>
      </c>
      <c r="V60" s="102">
        <f t="shared" si="35"/>
        <v>0.17787955508775924</v>
      </c>
      <c r="W60" s="102">
        <f t="shared" si="35"/>
        <v>0.1730588943148586</v>
      </c>
      <c r="X60" s="102">
        <f t="shared" si="35"/>
        <v>0.16489089728176001</v>
      </c>
      <c r="Y60" s="102">
        <f t="shared" si="35"/>
        <v>0.15980197216248024</v>
      </c>
      <c r="Z60" s="102">
        <f t="shared" ref="Z60:AD60" si="50">+Z43/Z$46</f>
        <v>0.16048153630516512</v>
      </c>
      <c r="AA60" s="102">
        <f t="shared" si="50"/>
        <v>0.15297662057732109</v>
      </c>
      <c r="AB60" s="102">
        <f t="shared" si="50"/>
        <v>0.16617231311118322</v>
      </c>
      <c r="AC60" s="102">
        <f t="shared" si="50"/>
        <v>0.16303275011215793</v>
      </c>
      <c r="AD60" s="102">
        <f t="shared" si="50"/>
        <v>0.15998576466401368</v>
      </c>
      <c r="AE60" s="102">
        <f t="shared" ref="AE60" si="51">+AE43/AE$46</f>
        <v>0.15892302526651553</v>
      </c>
    </row>
    <row r="61" spans="1:31" x14ac:dyDescent="0.25">
      <c r="A61" s="95" t="str">
        <f t="shared" si="38"/>
        <v>NZ super</v>
      </c>
      <c r="B61" s="102">
        <f t="shared" si="39"/>
        <v>0.16421296656438353</v>
      </c>
      <c r="C61" s="102">
        <f t="shared" si="35"/>
        <v>0.16714180824255492</v>
      </c>
      <c r="D61" s="102">
        <f t="shared" si="35"/>
        <v>0.16233717433072295</v>
      </c>
      <c r="E61" s="102">
        <f t="shared" si="35"/>
        <v>0.15814168657182817</v>
      </c>
      <c r="F61" s="102">
        <f t="shared" si="35"/>
        <v>0.15435667771273118</v>
      </c>
      <c r="G61" s="102">
        <f t="shared" si="35"/>
        <v>0.14925024115050717</v>
      </c>
      <c r="H61" s="102">
        <f t="shared" si="35"/>
        <v>0.14154919748778785</v>
      </c>
      <c r="I61" s="102">
        <f t="shared" si="35"/>
        <v>0.14011224461585248</v>
      </c>
      <c r="J61" s="102">
        <f t="shared" si="35"/>
        <v>0.1436823891659173</v>
      </c>
      <c r="K61" s="102">
        <f t="shared" si="35"/>
        <v>0.14353436923887278</v>
      </c>
      <c r="L61" s="102">
        <f t="shared" si="35"/>
        <v>0.14141414141414141</v>
      </c>
      <c r="M61" s="102">
        <f t="shared" si="35"/>
        <v>0.14060933097750825</v>
      </c>
      <c r="N61" s="102">
        <f t="shared" si="35"/>
        <v>0.13549393028176857</v>
      </c>
      <c r="O61" s="102">
        <f t="shared" si="35"/>
        <v>0.13004866180048663</v>
      </c>
      <c r="P61" s="102">
        <f t="shared" si="35"/>
        <v>0.12610410532748181</v>
      </c>
      <c r="Q61" s="102">
        <f t="shared" si="35"/>
        <v>0.12891906591574995</v>
      </c>
      <c r="R61" s="102">
        <f t="shared" si="35"/>
        <v>0.12099621886816038</v>
      </c>
      <c r="S61" s="102">
        <f t="shared" si="35"/>
        <v>0.1295049443081874</v>
      </c>
      <c r="T61" s="102">
        <f t="shared" si="35"/>
        <v>0.12533711852377571</v>
      </c>
      <c r="U61" s="102">
        <f t="shared" si="35"/>
        <v>0.13874572934159474</v>
      </c>
      <c r="V61" s="102">
        <f t="shared" si="35"/>
        <v>0.14557790231274714</v>
      </c>
      <c r="W61" s="102">
        <f t="shared" si="35"/>
        <v>0.15269984748205465</v>
      </c>
      <c r="X61" s="102">
        <f t="shared" si="35"/>
        <v>0.16017854428368089</v>
      </c>
      <c r="Y61" s="102">
        <f t="shared" si="35"/>
        <v>0.16592947287262103</v>
      </c>
      <c r="Z61" s="102">
        <f t="shared" ref="Z61:AD61" si="52">+Z44/Z$46</f>
        <v>0.17085631197684015</v>
      </c>
      <c r="AA61" s="102">
        <f t="shared" si="52"/>
        <v>0.16741577161892399</v>
      </c>
      <c r="AB61" s="102">
        <f t="shared" si="52"/>
        <v>0.1672614357881077</v>
      </c>
      <c r="AC61" s="102">
        <f t="shared" si="52"/>
        <v>0.17220726783310902</v>
      </c>
      <c r="AD61" s="102">
        <f t="shared" si="52"/>
        <v>0.17494365179505431</v>
      </c>
      <c r="AE61" s="102">
        <f t="shared" ref="AE61" si="53">+AE44/AE$46</f>
        <v>0.18071644422059935</v>
      </c>
    </row>
    <row r="62" spans="1:31" x14ac:dyDescent="0.25">
      <c r="A62" s="95" t="str">
        <f t="shared" si="38"/>
        <v>All other</v>
      </c>
      <c r="B62" s="102">
        <f t="shared" si="39"/>
        <v>9.5421426071462659E-2</v>
      </c>
      <c r="C62" s="102">
        <f t="shared" si="35"/>
        <v>4.1195721852964003E-2</v>
      </c>
      <c r="D62" s="102">
        <f t="shared" si="35"/>
        <v>5.5493421052631581E-2</v>
      </c>
      <c r="E62" s="102">
        <f t="shared" si="35"/>
        <v>5.8406577828182586E-2</v>
      </c>
      <c r="F62" s="102">
        <f t="shared" si="35"/>
        <v>7.3013079234060627E-2</v>
      </c>
      <c r="G62" s="102">
        <f t="shared" si="35"/>
        <v>9.3858700417994212E-2</v>
      </c>
      <c r="H62" s="102">
        <f t="shared" si="35"/>
        <v>0.10319609211444522</v>
      </c>
      <c r="I62" s="102">
        <f t="shared" si="35"/>
        <v>8.9298056454065411E-2</v>
      </c>
      <c r="J62" s="102">
        <f t="shared" si="35"/>
        <v>0.10384479141121011</v>
      </c>
      <c r="K62" s="102">
        <f t="shared" si="35"/>
        <v>0.11659204635238346</v>
      </c>
      <c r="L62" s="102">
        <f t="shared" si="35"/>
        <v>0.10151139183397248</v>
      </c>
      <c r="M62" s="102">
        <f t="shared" si="35"/>
        <v>0.10594049949859127</v>
      </c>
      <c r="N62" s="102">
        <f t="shared" si="35"/>
        <v>0.11976834836841518</v>
      </c>
      <c r="O62" s="102">
        <f t="shared" si="35"/>
        <v>0.11719383617193835</v>
      </c>
      <c r="P62" s="102">
        <f t="shared" si="35"/>
        <v>0.11573431105679316</v>
      </c>
      <c r="Q62" s="102">
        <f t="shared" si="35"/>
        <v>0.14009509272417847</v>
      </c>
      <c r="R62" s="102">
        <f t="shared" si="35"/>
        <v>0.1285741070591544</v>
      </c>
      <c r="S62" s="102">
        <f t="shared" si="35"/>
        <v>0.12006936091106495</v>
      </c>
      <c r="T62" s="102">
        <f t="shared" si="35"/>
        <v>0.1309013484740951</v>
      </c>
      <c r="U62" s="102">
        <f t="shared" si="35"/>
        <v>0.10359603914528924</v>
      </c>
      <c r="V62" s="102">
        <f t="shared" si="35"/>
        <v>0.10511193923704946</v>
      </c>
      <c r="W62" s="102">
        <f t="shared" si="35"/>
        <v>0.10569913386598011</v>
      </c>
      <c r="X62" s="102">
        <f t="shared" si="35"/>
        <v>0.10378231969376615</v>
      </c>
      <c r="Y62" s="102">
        <f t="shared" si="35"/>
        <v>0.10412693259749219</v>
      </c>
      <c r="Z62" s="102">
        <f t="shared" ref="Z62:AD62" si="54">+Z45/Z$46</f>
        <v>0.10508390206840539</v>
      </c>
      <c r="AA62" s="102">
        <f t="shared" si="54"/>
        <v>0.11612555570524048</v>
      </c>
      <c r="AB62" s="102">
        <f t="shared" si="54"/>
        <v>0.10676878157297123</v>
      </c>
      <c r="AC62" s="102">
        <f t="shared" si="54"/>
        <v>0.10233288470165995</v>
      </c>
      <c r="AD62" s="102">
        <f t="shared" si="54"/>
        <v>0.10574050707992279</v>
      </c>
      <c r="AE62" s="102">
        <f t="shared" ref="AE62" si="55">+AE45/AE$46</f>
        <v>0.10053093259464452</v>
      </c>
    </row>
    <row r="63" spans="1:31" x14ac:dyDescent="0.25">
      <c r="A63" s="95" t="str">
        <f t="shared" si="38"/>
        <v>Total core Crown expenses excluding losses</v>
      </c>
      <c r="B63" s="102">
        <f t="shared" si="39"/>
        <v>1</v>
      </c>
      <c r="C63" s="102">
        <f t="shared" si="35"/>
        <v>1</v>
      </c>
      <c r="D63" s="102">
        <f t="shared" si="35"/>
        <v>1</v>
      </c>
      <c r="E63" s="102">
        <f t="shared" si="35"/>
        <v>1</v>
      </c>
      <c r="F63" s="102">
        <f t="shared" si="35"/>
        <v>1</v>
      </c>
      <c r="G63" s="102">
        <f t="shared" si="35"/>
        <v>1</v>
      </c>
      <c r="H63" s="102">
        <f t="shared" si="35"/>
        <v>1</v>
      </c>
      <c r="I63" s="102">
        <f t="shared" si="35"/>
        <v>1</v>
      </c>
      <c r="J63" s="102">
        <f t="shared" si="35"/>
        <v>1</v>
      </c>
      <c r="K63" s="102">
        <f t="shared" si="35"/>
        <v>1</v>
      </c>
      <c r="L63" s="102">
        <f t="shared" si="35"/>
        <v>1</v>
      </c>
      <c r="M63" s="102">
        <f t="shared" si="35"/>
        <v>1</v>
      </c>
      <c r="N63" s="102">
        <f t="shared" si="35"/>
        <v>1</v>
      </c>
      <c r="O63" s="102">
        <f t="shared" si="35"/>
        <v>1</v>
      </c>
      <c r="P63" s="102">
        <f t="shared" si="35"/>
        <v>1</v>
      </c>
      <c r="Q63" s="102">
        <f t="shared" si="35"/>
        <v>1</v>
      </c>
      <c r="R63" s="102">
        <f t="shared" si="35"/>
        <v>1</v>
      </c>
      <c r="S63" s="102">
        <f t="shared" si="35"/>
        <v>1</v>
      </c>
      <c r="T63" s="102">
        <f t="shared" si="35"/>
        <v>1</v>
      </c>
      <c r="U63" s="102">
        <f t="shared" si="35"/>
        <v>1</v>
      </c>
      <c r="V63" s="102">
        <f t="shared" si="35"/>
        <v>1</v>
      </c>
      <c r="W63" s="102">
        <f t="shared" si="35"/>
        <v>1</v>
      </c>
      <c r="X63" s="102">
        <f t="shared" si="35"/>
        <v>1</v>
      </c>
      <c r="Y63" s="102">
        <f t="shared" si="35"/>
        <v>1</v>
      </c>
      <c r="Z63" s="102">
        <f t="shared" ref="Z63:AD63" si="56">+Z46/Z$46</f>
        <v>1</v>
      </c>
      <c r="AA63" s="102">
        <f t="shared" si="56"/>
        <v>1</v>
      </c>
      <c r="AB63" s="102">
        <f t="shared" si="56"/>
        <v>1</v>
      </c>
      <c r="AC63" s="102">
        <f t="shared" si="56"/>
        <v>1</v>
      </c>
      <c r="AD63" s="102">
        <f t="shared" si="56"/>
        <v>1</v>
      </c>
      <c r="AE63" s="102">
        <f t="shared" ref="AE63" si="57">+AE46/AE$46</f>
        <v>1</v>
      </c>
    </row>
  </sheetData>
  <mergeCells count="3">
    <mergeCell ref="A2:A4"/>
    <mergeCell ref="A32:A35"/>
    <mergeCell ref="A50:A5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24"/>
  <sheetViews>
    <sheetView workbookViewId="0">
      <selection activeCell="A2" sqref="A2:A4"/>
    </sheetView>
  </sheetViews>
  <sheetFormatPr defaultRowHeight="15" x14ac:dyDescent="0.25"/>
  <cols>
    <col min="1" max="1" width="42.28515625" customWidth="1"/>
    <col min="2" max="25" width="11.5703125" bestFit="1" customWidth="1"/>
  </cols>
  <sheetData>
    <row r="1" spans="1:32" x14ac:dyDescent="0.25">
      <c r="A1" s="121" t="s">
        <v>58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2" s="8" customFormat="1" x14ac:dyDescent="0.25">
      <c r="A2" s="191" t="s">
        <v>0</v>
      </c>
      <c r="B2" s="44">
        <v>34121</v>
      </c>
      <c r="C2" s="45">
        <v>34486</v>
      </c>
      <c r="D2" s="45">
        <v>34851</v>
      </c>
      <c r="E2" s="45">
        <v>35217</v>
      </c>
      <c r="F2" s="45">
        <v>35582</v>
      </c>
      <c r="G2" s="45">
        <v>35947</v>
      </c>
      <c r="H2" s="45">
        <v>36312</v>
      </c>
      <c r="I2" s="45">
        <v>36678</v>
      </c>
      <c r="J2" s="45">
        <v>37043</v>
      </c>
      <c r="K2" s="45">
        <v>37408</v>
      </c>
      <c r="L2" s="45">
        <v>37773</v>
      </c>
      <c r="M2" s="45">
        <v>38139</v>
      </c>
      <c r="N2" s="45">
        <v>38504</v>
      </c>
      <c r="O2" s="45">
        <v>38869</v>
      </c>
      <c r="P2" s="45">
        <v>39234</v>
      </c>
      <c r="Q2" s="45">
        <v>39600</v>
      </c>
      <c r="R2" s="45">
        <v>39965</v>
      </c>
      <c r="S2" s="45">
        <v>40330</v>
      </c>
      <c r="T2" s="45">
        <v>40695</v>
      </c>
      <c r="U2" s="45">
        <v>41061</v>
      </c>
      <c r="V2" s="45">
        <v>41426</v>
      </c>
      <c r="W2" s="45">
        <v>41791</v>
      </c>
      <c r="X2" s="45">
        <v>42156</v>
      </c>
      <c r="Y2" s="46">
        <v>42522</v>
      </c>
      <c r="Z2" s="85">
        <f t="shared" ref="Z2:AE2" si="0">EDATE(Y2,12)</f>
        <v>42887</v>
      </c>
      <c r="AA2" s="85">
        <f t="shared" si="0"/>
        <v>43252</v>
      </c>
      <c r="AB2" s="85">
        <f t="shared" si="0"/>
        <v>43617</v>
      </c>
      <c r="AC2" s="85">
        <f t="shared" si="0"/>
        <v>43983</v>
      </c>
      <c r="AD2" s="85">
        <f t="shared" si="0"/>
        <v>44348</v>
      </c>
      <c r="AE2" s="85">
        <f t="shared" si="0"/>
        <v>44713</v>
      </c>
    </row>
    <row r="3" spans="1:32" x14ac:dyDescent="0.25">
      <c r="A3" s="192"/>
      <c r="B3" s="13" t="s">
        <v>59</v>
      </c>
      <c r="C3" s="13" t="s">
        <v>59</v>
      </c>
      <c r="D3" s="13" t="s">
        <v>59</v>
      </c>
      <c r="E3" s="13" t="s">
        <v>59</v>
      </c>
      <c r="F3" s="13" t="s">
        <v>59</v>
      </c>
      <c r="G3" s="13" t="s">
        <v>59</v>
      </c>
      <c r="H3" s="13" t="s">
        <v>59</v>
      </c>
      <c r="I3" s="13" t="s">
        <v>59</v>
      </c>
      <c r="J3" s="13" t="s">
        <v>59</v>
      </c>
      <c r="K3" s="13" t="s">
        <v>59</v>
      </c>
      <c r="L3" s="13" t="s">
        <v>59</v>
      </c>
      <c r="M3" s="13" t="s">
        <v>59</v>
      </c>
      <c r="N3" s="13" t="s">
        <v>59</v>
      </c>
      <c r="O3" s="13" t="s">
        <v>59</v>
      </c>
      <c r="P3" s="13" t="s">
        <v>59</v>
      </c>
      <c r="Q3" s="13" t="s">
        <v>59</v>
      </c>
      <c r="R3" s="13" t="s">
        <v>59</v>
      </c>
      <c r="S3" s="13" t="s">
        <v>59</v>
      </c>
      <c r="T3" s="13" t="s">
        <v>59</v>
      </c>
      <c r="U3" s="13" t="s">
        <v>59</v>
      </c>
      <c r="V3" s="13" t="s">
        <v>59</v>
      </c>
      <c r="W3" s="13" t="s">
        <v>59</v>
      </c>
      <c r="X3" s="13" t="s">
        <v>59</v>
      </c>
      <c r="Y3" s="13" t="s">
        <v>59</v>
      </c>
      <c r="Z3" s="13" t="s">
        <v>59</v>
      </c>
      <c r="AA3" s="13" t="s">
        <v>59</v>
      </c>
      <c r="AB3" s="13" t="s">
        <v>59</v>
      </c>
      <c r="AC3" s="13" t="s">
        <v>59</v>
      </c>
      <c r="AD3" s="13" t="s">
        <v>59</v>
      </c>
      <c r="AE3" s="13" t="s">
        <v>59</v>
      </c>
    </row>
    <row r="4" spans="1:32" x14ac:dyDescent="0.25">
      <c r="A4" s="192"/>
      <c r="B4" s="13" t="s">
        <v>25</v>
      </c>
      <c r="C4" s="10" t="s">
        <v>25</v>
      </c>
      <c r="D4" s="9" t="s">
        <v>25</v>
      </c>
      <c r="E4" s="10" t="s">
        <v>25</v>
      </c>
      <c r="F4" s="9" t="s">
        <v>25</v>
      </c>
      <c r="G4" s="10" t="s">
        <v>25</v>
      </c>
      <c r="H4" s="9" t="s">
        <v>25</v>
      </c>
      <c r="I4" s="10" t="s">
        <v>25</v>
      </c>
      <c r="J4" s="9" t="s">
        <v>25</v>
      </c>
      <c r="K4" s="10" t="s">
        <v>25</v>
      </c>
      <c r="L4" s="9" t="s">
        <v>25</v>
      </c>
      <c r="M4" s="10" t="s">
        <v>25</v>
      </c>
      <c r="N4" s="9" t="s">
        <v>25</v>
      </c>
      <c r="O4" s="10" t="s">
        <v>25</v>
      </c>
      <c r="P4" s="9" t="s">
        <v>25</v>
      </c>
      <c r="Q4" s="10" t="s">
        <v>25</v>
      </c>
      <c r="R4" s="9" t="s">
        <v>25</v>
      </c>
      <c r="S4" s="10" t="s">
        <v>25</v>
      </c>
      <c r="T4" s="9" t="s">
        <v>25</v>
      </c>
      <c r="U4" s="10" t="s">
        <v>25</v>
      </c>
      <c r="V4" s="9" t="s">
        <v>25</v>
      </c>
      <c r="W4" s="10" t="s">
        <v>25</v>
      </c>
      <c r="X4" s="10" t="s">
        <v>25</v>
      </c>
      <c r="Y4" s="9" t="s">
        <v>25</v>
      </c>
      <c r="Z4" s="9" t="s">
        <v>25</v>
      </c>
      <c r="AA4" s="9" t="s">
        <v>25</v>
      </c>
      <c r="AB4" s="9" t="s">
        <v>25</v>
      </c>
      <c r="AC4" s="9" t="s">
        <v>25</v>
      </c>
      <c r="AD4" s="9" t="s">
        <v>25</v>
      </c>
      <c r="AE4" s="9" t="s">
        <v>25</v>
      </c>
    </row>
    <row r="5" spans="1:32" s="18" customFormat="1" ht="15.75" customHeight="1" x14ac:dyDescent="0.25">
      <c r="A5" s="14" t="s">
        <v>26</v>
      </c>
      <c r="B5" s="17"/>
      <c r="C5" s="16"/>
      <c r="D5" s="15"/>
      <c r="E5" s="16"/>
      <c r="F5" s="15"/>
      <c r="G5" s="16"/>
      <c r="H5" s="15"/>
      <c r="I5" s="16"/>
      <c r="J5" s="15"/>
      <c r="K5" s="16"/>
      <c r="L5" s="15"/>
      <c r="M5" s="16"/>
      <c r="N5" s="15"/>
      <c r="O5" s="16"/>
      <c r="P5" s="15"/>
      <c r="Q5" s="16"/>
      <c r="R5" s="15"/>
      <c r="S5" s="16"/>
      <c r="T5" s="15"/>
      <c r="U5" s="16"/>
      <c r="V5" s="15"/>
      <c r="X5" s="16"/>
      <c r="Y5" s="15"/>
      <c r="Z5" s="15"/>
      <c r="AA5" s="15"/>
      <c r="AB5" s="15"/>
      <c r="AC5" s="15"/>
      <c r="AD5" s="15"/>
      <c r="AE5" s="15"/>
    </row>
    <row r="6" spans="1:32" x14ac:dyDescent="0.25">
      <c r="A6" s="24" t="str">
        <f>+'Aggregated expenditure (Core)'!B6</f>
        <v>Core govt services</v>
      </c>
      <c r="B6" s="74">
        <f>+'Aggregated expenditure (Core)'!C6/(Inflation!B$3)</f>
        <v>2332.5094345153661</v>
      </c>
      <c r="C6" s="74">
        <f>+'Aggregated expenditure (Core)'!D6/(Inflation!C$3)</f>
        <v>2715.4631031237</v>
      </c>
      <c r="D6" s="74">
        <f>+'Aggregated expenditure (Core)'!E6/(Inflation!D$3)</f>
        <v>2019.3325226231482</v>
      </c>
      <c r="E6" s="74">
        <f>+'Aggregated expenditure (Core)'!F6/(Inflation!E$3)</f>
        <v>2312.1564243249422</v>
      </c>
      <c r="F6" s="74">
        <f>+'Aggregated expenditure (Core)'!G6/(Inflation!F$3)</f>
        <v>2435.563651915691</v>
      </c>
      <c r="G6" s="74">
        <f>+'Aggregated expenditure (Core)'!H6/(Inflation!G$3)</f>
        <v>2244.8434092182356</v>
      </c>
      <c r="H6" s="74">
        <f>+'Aggregated expenditure (Core)'!I6/(Inflation!H$3)</f>
        <v>2459.2920014472443</v>
      </c>
      <c r="I6" s="74">
        <f>+'Aggregated expenditure (Core)'!J6/(Inflation!I$3)</f>
        <v>2418.1411750987149</v>
      </c>
      <c r="J6" s="74">
        <f>+'Aggregated expenditure (Core)'!K6/(Inflation!J$3)</f>
        <v>2462.9014251925014</v>
      </c>
      <c r="K6" s="74">
        <f>+'Aggregated expenditure (Core)'!L6/(Inflation!K$3)</f>
        <v>2052.9537885859127</v>
      </c>
      <c r="L6" s="74">
        <f>+'Aggregated expenditure (Core)'!M6/(Inflation!L$3)</f>
        <v>2798.0983603495574</v>
      </c>
      <c r="M6" s="74">
        <f>+'Aggregated expenditure (Core)'!N6/(Inflation!M$3)</f>
        <v>2683.3259775530523</v>
      </c>
      <c r="N6" s="74">
        <f>+'Aggregated expenditure (Core)'!O6/(Inflation!N$3)</f>
        <v>3202.9764706765559</v>
      </c>
      <c r="O6" s="74">
        <f>+'Aggregated expenditure (Core)'!P6/(Inflation!O$3)</f>
        <v>3008.4</v>
      </c>
      <c r="P6" s="74">
        <f>+'Aggregated expenditure (Core)'!Q6/(Inflation!P$3)</f>
        <v>5665.8823508981268</v>
      </c>
      <c r="Q6" s="74">
        <f>+'Aggregated expenditure (Core)'!R6/(Inflation!Q$3)</f>
        <v>3812.6295937747682</v>
      </c>
      <c r="R6" s="74">
        <f>+'Aggregated expenditure (Core)'!S6/(Inflation!R$3)</f>
        <v>5875.6706718687892</v>
      </c>
      <c r="S6" s="74">
        <f>+'Aggregated expenditure (Core)'!T6/(Inflation!S$3)</f>
        <v>3247.3157409130808</v>
      </c>
      <c r="T6" s="74">
        <f>+'Aggregated expenditure (Core)'!U6/(Inflation!T$3)</f>
        <v>5769.7493489900262</v>
      </c>
      <c r="U6" s="74">
        <f>+'Aggregated expenditure (Core)'!V6/(Inflation!U$3)</f>
        <v>5576.7123292354145</v>
      </c>
      <c r="V6" s="74">
        <f>+'Aggregated expenditure (Core)'!W6/(Inflation!V$3)</f>
        <v>4381.6326510513372</v>
      </c>
      <c r="W6" s="74">
        <f>+'Aggregated expenditure (Core)'!X6/(Inflation!W$3)</f>
        <v>4520.8368181124833</v>
      </c>
      <c r="X6" s="74">
        <f>+'Aggregated expenditure (Core)'!Y6/(Inflation!X$3)</f>
        <v>4134</v>
      </c>
      <c r="Y6" s="74">
        <f>+'Aggregated expenditure (Core)'!Z6/(Inflation!Y$3)</f>
        <v>4084.979250722236</v>
      </c>
      <c r="Z6" s="74">
        <f>+'Aggregated expenditure (Core)'!AA6/(Inflation!Z$3)</f>
        <v>3873.0831966540004</v>
      </c>
      <c r="AA6" s="74">
        <f>+'Aggregated expenditure (Core)'!AB6/(Inflation!AA$3)</f>
        <v>5171.9644381420112</v>
      </c>
      <c r="AB6" s="74">
        <f>+'Aggregated expenditure (Core)'!AC6/(Inflation!AB$3)</f>
        <v>4643.1366623583808</v>
      </c>
      <c r="AC6" s="74">
        <f>+'Aggregated expenditure (Core)'!AD6/(Inflation!AC$3)</f>
        <v>4666.5958057393773</v>
      </c>
      <c r="AD6" s="74">
        <f>+'Aggregated expenditure (Core)'!AE6/(Inflation!AD$3)</f>
        <v>4544.1363050999998</v>
      </c>
      <c r="AE6" s="74">
        <f>+'Aggregated expenditure (Core)'!AF6/(Inflation!AE$3)</f>
        <v>4589.3126236606167</v>
      </c>
      <c r="AF6" s="164"/>
    </row>
    <row r="7" spans="1:32" x14ac:dyDescent="0.25">
      <c r="A7" s="24" t="str">
        <f>+'Aggregated expenditure (Core)'!B7</f>
        <v>Defence</v>
      </c>
      <c r="B7" s="74">
        <f>+'Aggregated expenditure (Core)'!C7/(Inflation!B$3)</f>
        <v>1868.8753870809594</v>
      </c>
      <c r="C7" s="74">
        <f>+'Aggregated expenditure (Core)'!D7/(Inflation!C$3)</f>
        <v>1653.2331951112949</v>
      </c>
      <c r="D7" s="74">
        <f>+'Aggregated expenditure (Core)'!E7/(Inflation!D$3)</f>
        <v>1526.5551085203351</v>
      </c>
      <c r="E7" s="74">
        <f>+'Aggregated expenditure (Core)'!F7/(Inflation!E$3)</f>
        <v>1433.0937582077918</v>
      </c>
      <c r="F7" s="74">
        <f>+'Aggregated expenditure (Core)'!G7/(Inflation!F$3)</f>
        <v>1382.1494989275607</v>
      </c>
      <c r="G7" s="74">
        <f>+'Aggregated expenditure (Core)'!H7/(Inflation!G$3)</f>
        <v>1530.5750517397062</v>
      </c>
      <c r="H7" s="74">
        <f>+'Aggregated expenditure (Core)'!I7/(Inflation!H$3)</f>
        <v>1485.6720008742882</v>
      </c>
      <c r="I7" s="74">
        <f>+'Aggregated expenditure (Core)'!J7/(Inflation!I$3)</f>
        <v>1763.4047048819282</v>
      </c>
      <c r="J7" s="74">
        <f>+'Aggregated expenditure (Core)'!K7/(Inflation!J$3)</f>
        <v>1701.2923081696811</v>
      </c>
      <c r="K7" s="74">
        <f>+'Aggregated expenditure (Core)'!L7/(Inflation!K$3)</f>
        <v>1549.0469495693706</v>
      </c>
      <c r="L7" s="74">
        <f>+'Aggregated expenditure (Core)'!M7/(Inflation!L$3)</f>
        <v>1575.0797812484129</v>
      </c>
      <c r="M7" s="74">
        <f>+'Aggregated expenditure (Core)'!N7/(Inflation!M$3)</f>
        <v>1682.3722413065766</v>
      </c>
      <c r="N7" s="74">
        <f>+'Aggregated expenditure (Core)'!O7/(Inflation!N$3)</f>
        <v>1590.8823529850442</v>
      </c>
      <c r="O7" s="74">
        <f>+'Aggregated expenditure (Core)'!P7/(Inflation!O$3)</f>
        <v>1659.6000000000001</v>
      </c>
      <c r="P7" s="74">
        <f>+'Aggregated expenditure (Core)'!Q7/(Inflation!P$3)</f>
        <v>1784.7058817093973</v>
      </c>
      <c r="Q7" s="74">
        <f>+'Aggregated expenditure (Core)'!R7/(Inflation!Q$3)</f>
        <v>1766.6352493254785</v>
      </c>
      <c r="R7" s="74">
        <f>+'Aggregated expenditure (Core)'!S7/(Inflation!R$3)</f>
        <v>1950.4162800818935</v>
      </c>
      <c r="S7" s="74">
        <f>+'Aggregated expenditure (Core)'!T7/(Inflation!S$3)</f>
        <v>1980.7097357149728</v>
      </c>
      <c r="T7" s="74">
        <f>+'Aggregated expenditure (Core)'!U7/(Inflation!T$3)</f>
        <v>1876.2316326304078</v>
      </c>
      <c r="U7" s="74">
        <f>+'Aggregated expenditure (Core)'!V7/(Inflation!U$3)</f>
        <v>1783.5616439853868</v>
      </c>
      <c r="V7" s="74">
        <f>+'Aggregated expenditure (Core)'!W7/(Inflation!V$3)</f>
        <v>1840.816325686216</v>
      </c>
      <c r="W7" s="74">
        <f>+'Aggregated expenditure (Core)'!X7/(Inflation!W$3)</f>
        <v>1818.5774050647951</v>
      </c>
      <c r="X7" s="74">
        <f>+'Aggregated expenditure (Core)'!Y7/(Inflation!X$3)</f>
        <v>1961</v>
      </c>
      <c r="Y7" s="74">
        <f>+'Aggregated expenditure (Core)'!Z7/(Inflation!Y$3)</f>
        <v>2017.5933598155166</v>
      </c>
      <c r="Z7" s="74">
        <f>+'Aggregated expenditure (Core)'!AA7/(Inflation!Z$3)</f>
        <v>2100.4893960120003</v>
      </c>
      <c r="AA7" s="74">
        <f>+'Aggregated expenditure (Core)'!AB7/(Inflation!AA$3)</f>
        <v>2186.3567473668636</v>
      </c>
      <c r="AB7" s="74">
        <f>+'Aggregated expenditure (Core)'!AC7/(Inflation!AB$3)</f>
        <v>2312.1387278843927</v>
      </c>
      <c r="AC7" s="74">
        <f>+'Aggregated expenditure (Core)'!AD7/(Inflation!AC$3)</f>
        <v>2355.9423071558076</v>
      </c>
      <c r="AD7" s="74">
        <f>+'Aggregated expenditure (Core)'!AE7/(Inflation!AD$3)</f>
        <v>2394.4172552999999</v>
      </c>
      <c r="AE7" s="74">
        <f>+'Aggregated expenditure (Core)'!AF7/(Inflation!AE$3)</f>
        <v>2422.1125459110708</v>
      </c>
    </row>
    <row r="8" spans="1:32" x14ac:dyDescent="0.25">
      <c r="A8" s="24" t="str">
        <f>+'Aggregated expenditure (Core)'!B8</f>
        <v>Education</v>
      </c>
      <c r="B8" s="74">
        <f>+'Aggregated expenditure (Core)'!C8/(Inflation!B$3)</f>
        <v>7231.7351934871913</v>
      </c>
      <c r="C8" s="74">
        <f>+'Aggregated expenditure (Core)'!D8/(Inflation!C$3)</f>
        <v>7292.1925584175033</v>
      </c>
      <c r="D8" s="74">
        <f>+'Aggregated expenditure (Core)'!E8/(Inflation!D$3)</f>
        <v>7237.9508254917764</v>
      </c>
      <c r="E8" s="74">
        <f>+'Aggregated expenditure (Core)'!F8/(Inflation!E$3)</f>
        <v>7311.7329993508883</v>
      </c>
      <c r="F8" s="74">
        <f>+'Aggregated expenditure (Core)'!G8/(Inflation!F$3)</f>
        <v>7794.6803137193829</v>
      </c>
      <c r="G8" s="74">
        <f>+'Aggregated expenditure (Core)'!H8/(Inflation!G$3)</f>
        <v>8211.9303714935977</v>
      </c>
      <c r="H8" s="74">
        <f>+'Aggregated expenditure (Core)'!I8/(Inflation!H$3)</f>
        <v>8508.7176050072103</v>
      </c>
      <c r="I8" s="74">
        <f>+'Aggregated expenditure (Core)'!J8/(Inflation!I$3)</f>
        <v>8923.0823478788825</v>
      </c>
      <c r="J8" s="74">
        <f>+'Aggregated expenditure (Core)'!K8/(Inflation!J$3)</f>
        <v>8405.0962986547202</v>
      </c>
      <c r="K8" s="74">
        <f>+'Aggregated expenditure (Core)'!L8/(Inflation!K$3)</f>
        <v>8629.0713464393593</v>
      </c>
      <c r="L8" s="74">
        <f>+'Aggregated expenditure (Core)'!M8/(Inflation!L$3)</f>
        <v>9216.6469935269943</v>
      </c>
      <c r="M8" s="74">
        <f>+'Aggregated expenditure (Core)'!N8/(Inflation!M$3)</f>
        <v>9733.6334479865618</v>
      </c>
      <c r="N8" s="74">
        <f>+'Aggregated expenditure (Core)'!O8/(Inflation!N$3)</f>
        <v>9894.6643601344331</v>
      </c>
      <c r="O8" s="74">
        <f>+'Aggregated expenditure (Core)'!P8/(Inflation!O$3)</f>
        <v>11896.800000000001</v>
      </c>
      <c r="P8" s="74">
        <f>+'Aggregated expenditure (Core)'!Q8/(Inflation!P$3)</f>
        <v>10904.705878420833</v>
      </c>
      <c r="Q8" s="74">
        <f>+'Aggregated expenditure (Core)'!R8/(Inflation!Q$3)</f>
        <v>10802.262014281463</v>
      </c>
      <c r="R8" s="74">
        <f>+'Aggregated expenditure (Core)'!S8/(Inflation!R$3)</f>
        <v>12716.003692850363</v>
      </c>
      <c r="S8" s="74">
        <f>+'Aggregated expenditure (Core)'!T8/(Inflation!S$3)</f>
        <v>12801.455866329845</v>
      </c>
      <c r="T8" s="74">
        <f>+'Aggregated expenditure (Core)'!U8/(Inflation!T$3)</f>
        <v>12082.97320074309</v>
      </c>
      <c r="U8" s="74">
        <f>+'Aggregated expenditure (Core)'!V8/(Inflation!U$3)</f>
        <v>11973.287672238304</v>
      </c>
      <c r="V8" s="74">
        <f>+'Aggregated expenditure (Core)'!W8/(Inflation!V$3)</f>
        <v>12759.183667616655</v>
      </c>
      <c r="W8" s="74">
        <f>+'Aggregated expenditure (Core)'!X8/(Inflation!W$3)</f>
        <v>12351.464429760894</v>
      </c>
      <c r="X8" s="74">
        <f>+'Aggregated expenditure (Core)'!Y8/(Inflation!X$3)</f>
        <v>12879</v>
      </c>
      <c r="Y8" s="74">
        <f>+'Aggregated expenditure (Core)'!Z8/(Inflation!Y$3)</f>
        <v>13103.402481960795</v>
      </c>
      <c r="Z8" s="74">
        <f>+'Aggregated expenditure (Core)'!AA8/(Inflation!Z$3)</f>
        <v>12999.347468982001</v>
      </c>
      <c r="AA8" s="74">
        <f>+'Aggregated expenditure (Core)'!AB8/(Inflation!AA$3)</f>
        <v>13559.272949343194</v>
      </c>
      <c r="AB8" s="74">
        <f>+'Aggregated expenditure (Core)'!AC8/(Inflation!AB$3)</f>
        <v>14353.742135341039</v>
      </c>
      <c r="AC8" s="74">
        <f>+'Aggregated expenditure (Core)'!AD8/(Inflation!AC$3)</f>
        <v>14754.908980555241</v>
      </c>
      <c r="AD8" s="74">
        <f>+'Aggregated expenditure (Core)'!AE8/(Inflation!AD$3)</f>
        <v>15218.4158028</v>
      </c>
      <c r="AE8" s="74">
        <f>+'Aggregated expenditure (Core)'!AF8/(Inflation!AE$3)</f>
        <v>15424.424815655171</v>
      </c>
    </row>
    <row r="9" spans="1:32" x14ac:dyDescent="0.25">
      <c r="A9" s="24" t="str">
        <f>+'Aggregated expenditure (Core)'!B9</f>
        <v>Finance costs</v>
      </c>
      <c r="B9" s="74">
        <f>+'Aggregated expenditure (Core)'!C9/(Inflation!B$3)</f>
        <v>6310.8400752154139</v>
      </c>
      <c r="C9" s="74">
        <f>+'Aggregated expenditure (Core)'!D9/(Inflation!C$3)</f>
        <v>5969.9212040815873</v>
      </c>
      <c r="D9" s="74">
        <f>+'Aggregated expenditure (Core)'!E9/(Inflation!D$3)</f>
        <v>5661.6658861904234</v>
      </c>
      <c r="E9" s="74">
        <f>+'Aggregated expenditure (Core)'!F9/(Inflation!E$3)</f>
        <v>5470.8723573643847</v>
      </c>
      <c r="F9" s="74">
        <f>+'Aggregated expenditure (Core)'!G9/(Inflation!F$3)</f>
        <v>4488.3332565596893</v>
      </c>
      <c r="G9" s="74">
        <f>+'Aggregated expenditure (Core)'!H9/(Inflation!G$3)</f>
        <v>4029.7957230780621</v>
      </c>
      <c r="H9" s="74">
        <f>+'Aggregated expenditure (Core)'!I9/(Inflation!H$3)</f>
        <v>3629.0784021356403</v>
      </c>
      <c r="I9" s="74">
        <f>+'Aggregated expenditure (Core)'!J9/(Inflation!I$3)</f>
        <v>3355.7011745668128</v>
      </c>
      <c r="J9" s="74">
        <f>+'Aggregated expenditure (Core)'!K9/(Inflation!J$3)</f>
        <v>3156.0205137060748</v>
      </c>
      <c r="K9" s="74">
        <f>+'Aggregated expenditure (Core)'!L9/(Inflation!K$3)</f>
        <v>2823.4780027434826</v>
      </c>
      <c r="L9" s="74">
        <f>+'Aggregated expenditure (Core)'!M9/(Inflation!L$3)</f>
        <v>3100.2404368192283</v>
      </c>
      <c r="M9" s="74">
        <f>+'Aggregated expenditure (Core)'!N9/(Inflation!M$3)</f>
        <v>2889.9330949064915</v>
      </c>
      <c r="N9" s="74">
        <f>+'Aggregated expenditure (Core)'!O9/(Inflation!N$3)</f>
        <v>2837.3854672062671</v>
      </c>
      <c r="O9" s="74">
        <f>+'Aggregated expenditure (Core)'!P9/(Inflation!O$3)</f>
        <v>2827.2000000000003</v>
      </c>
      <c r="P9" s="74">
        <f>+'Aggregated expenditure (Core)'!Q9/(Inflation!P$3)</f>
        <v>2739.9999990119886</v>
      </c>
      <c r="Q9" s="74">
        <f>+'Aggregated expenditure (Core)'!R9/(Inflation!Q$3)</f>
        <v>2782.2808664152863</v>
      </c>
      <c r="R9" s="74">
        <f>+'Aggregated expenditure (Core)'!S9/(Inflation!R$3)</f>
        <v>2696.3922278422988</v>
      </c>
      <c r="S9" s="74">
        <f>+'Aggregated expenditure (Core)'!T9/(Inflation!S$3)</f>
        <v>2523.3848948386449</v>
      </c>
      <c r="T9" s="74">
        <f>+'Aggregated expenditure (Core)'!U9/(Inflation!T$3)</f>
        <v>3179.9481402127308</v>
      </c>
      <c r="U9" s="74">
        <f>+'Aggregated expenditure (Core)'!V9/(Inflation!U$3)</f>
        <v>3607.1917811248231</v>
      </c>
      <c r="V9" s="74">
        <f>+'Aggregated expenditure (Core)'!W9/(Inflation!V$3)</f>
        <v>3692.857141163202</v>
      </c>
      <c r="W9" s="74">
        <f>+'Aggregated expenditure (Core)'!X9/(Inflation!W$3)</f>
        <v>3635.146441929629</v>
      </c>
      <c r="X9" s="74">
        <f>+'Aggregated expenditure (Core)'!Y9/(Inflation!X$3)</f>
        <v>3783</v>
      </c>
      <c r="Y9" s="74">
        <f>+'Aggregated expenditure (Core)'!Z9/(Inflation!Y$3)</f>
        <v>3575.1037323483242</v>
      </c>
      <c r="Z9" s="74">
        <f>+'Aggregated expenditure (Core)'!AA9/(Inflation!Z$3)</f>
        <v>3459.0538329480005</v>
      </c>
      <c r="AA9" s="74">
        <f>+'Aggregated expenditure (Core)'!AB9/(Inflation!AA$3)</f>
        <v>3391.0248359822481</v>
      </c>
      <c r="AB9" s="74">
        <f>+'Aggregated expenditure (Core)'!AC9/(Inflation!AB$3)</f>
        <v>3262.6427399999998</v>
      </c>
      <c r="AC9" s="74">
        <f>+'Aggregated expenditure (Core)'!AD9/(Inflation!AC$3)</f>
        <v>3190.550350844193</v>
      </c>
      <c r="AD9" s="74">
        <f>+'Aggregated expenditure (Core)'!AE9/(Inflation!AD$3)</f>
        <v>3179.2640922000001</v>
      </c>
      <c r="AE9" s="74">
        <f>+'Aggregated expenditure (Core)'!AF9/(Inflation!AE$3)</f>
        <v>2934.6020724936479</v>
      </c>
    </row>
    <row r="10" spans="1:32" x14ac:dyDescent="0.25">
      <c r="A10" s="24" t="str">
        <f>+'Aggregated expenditure (Core)'!B10</f>
        <v>Health</v>
      </c>
      <c r="B10" s="74">
        <f>+'Aggregated expenditure (Core)'!C10/(Inflation!B$3)</f>
        <v>6640.6416141120535</v>
      </c>
      <c r="C10" s="74">
        <f>+'Aggregated expenditure (Core)'!D10/(Inflation!C$3)</f>
        <v>7252.7923392775774</v>
      </c>
      <c r="D10" s="74">
        <f>+'Aggregated expenditure (Core)'!E10/(Inflation!D$3)</f>
        <v>7363.0288847288821</v>
      </c>
      <c r="E10" s="74">
        <f>+'Aggregated expenditure (Core)'!F10/(Inflation!E$3)</f>
        <v>7723.9321318663251</v>
      </c>
      <c r="F10" s="74">
        <f>+'Aggregated expenditure (Core)'!G10/(Inflation!F$3)</f>
        <v>8219.8446944677125</v>
      </c>
      <c r="G10" s="74">
        <f>+'Aggregated expenditure (Core)'!H10/(Inflation!G$3)</f>
        <v>8624.3951976431708</v>
      </c>
      <c r="H10" s="74">
        <f>+'Aggregated expenditure (Core)'!I10/(Inflation!H$3)</f>
        <v>9480.8952055793179</v>
      </c>
      <c r="I10" s="74">
        <f>+'Aggregated expenditure (Core)'!J10/(Inflation!I$3)</f>
        <v>9720.6447003675821</v>
      </c>
      <c r="J10" s="74">
        <f>+'Aggregated expenditure (Core)'!K10/(Inflation!J$3)</f>
        <v>9122.8717974316223</v>
      </c>
      <c r="K10" s="74">
        <f>+'Aggregated expenditure (Core)'!L10/(Inflation!K$3)</f>
        <v>9374.266909958531</v>
      </c>
      <c r="L10" s="74">
        <f>+'Aggregated expenditure (Core)'!M10/(Inflation!L$3)</f>
        <v>9853.7726765173848</v>
      </c>
      <c r="M10" s="74">
        <f>+'Aggregated expenditure (Core)'!N10/(Inflation!M$3)</f>
        <v>10408.635582942519</v>
      </c>
      <c r="N10" s="74">
        <f>+'Aggregated expenditure (Core)'!O10/(Inflation!N$3)</f>
        <v>10996.428374005643</v>
      </c>
      <c r="O10" s="74">
        <f>+'Aggregated expenditure (Core)'!P10/(Inflation!O$3)</f>
        <v>11456.400000000001</v>
      </c>
      <c r="P10" s="74">
        <f>+'Aggregated expenditure (Core)'!Q10/(Inflation!P$3)</f>
        <v>12182.352936783658</v>
      </c>
      <c r="Q10" s="74">
        <f>+'Aggregated expenditure (Core)'!R10/(Inflation!Q$3)</f>
        <v>12777.002824346946</v>
      </c>
      <c r="R10" s="74">
        <f>+'Aggregated expenditure (Core)'!S10/(Inflation!R$3)</f>
        <v>13729.509705209368</v>
      </c>
      <c r="S10" s="74">
        <f>+'Aggregated expenditure (Core)'!T10/(Inflation!S$3)</f>
        <v>14334.485893311004</v>
      </c>
      <c r="T10" s="74">
        <f>+'Aggregated expenditure (Core)'!U10/(Inflation!T$3)</f>
        <v>14264.131367366499</v>
      </c>
      <c r="U10" s="74">
        <f>+'Aggregated expenditure (Core)'!V10/(Inflation!U$3)</f>
        <v>14547.945206701081</v>
      </c>
      <c r="V10" s="74">
        <f>+'Aggregated expenditure (Core)'!W10/(Inflation!V$3)</f>
        <v>14793.877544234347</v>
      </c>
      <c r="W10" s="74">
        <f>+'Aggregated expenditure (Core)'!X10/(Inflation!W$3)</f>
        <v>14960.334721510391</v>
      </c>
      <c r="X10" s="74">
        <f>+'Aggregated expenditure (Core)'!Y10/(Inflation!X$3)</f>
        <v>15058</v>
      </c>
      <c r="Y10" s="74">
        <f>+'Aggregated expenditure (Core)'!Z10/(Inflation!Y$3)</f>
        <v>15561.16181662254</v>
      </c>
      <c r="Z10" s="74">
        <f>+'Aggregated expenditure (Core)'!AA10/(Inflation!Z$3)</f>
        <v>15878.955951305999</v>
      </c>
      <c r="AA10" s="74">
        <f>+'Aggregated expenditure (Core)'!AB10/(Inflation!AA$3)</f>
        <v>16193.519114272189</v>
      </c>
      <c r="AB10" s="74">
        <f>+'Aggregated expenditure (Core)'!AC10/(Inflation!AB$3)</f>
        <v>16906.335747242774</v>
      </c>
      <c r="AC10" s="74">
        <f>+'Aggregated expenditure (Core)'!AD10/(Inflation!AC$3)</f>
        <v>17200.50464345609</v>
      </c>
      <c r="AD10" s="74">
        <f>+'Aggregated expenditure (Core)'!AE10/(Inflation!AD$3)</f>
        <v>17404.386438599999</v>
      </c>
      <c r="AE10" s="74">
        <f>+'Aggregated expenditure (Core)'!AF10/(Inflation!AE$3)</f>
        <v>17696.432110279489</v>
      </c>
    </row>
    <row r="11" spans="1:32" x14ac:dyDescent="0.25">
      <c r="A11" s="24" t="str">
        <f>+'Aggregated expenditure (Core)'!B11</f>
        <v>Law and order</v>
      </c>
      <c r="B11" s="74">
        <f>+'Aggregated expenditure (Core)'!C11/(Inflation!B$3)</f>
        <v>1679.279333319123</v>
      </c>
      <c r="C11" s="74">
        <f>+'Aggregated expenditure (Core)'!D11/(Inflation!C$3)</f>
        <v>1812.410080436596</v>
      </c>
      <c r="D11" s="74">
        <f>+'Aggregated expenditure (Core)'!E11/(Inflation!D$3)</f>
        <v>1793.2878372548853</v>
      </c>
      <c r="E11" s="74">
        <f>+'Aggregated expenditure (Core)'!F11/(Inflation!E$3)</f>
        <v>1823.1316470396032</v>
      </c>
      <c r="F11" s="74">
        <f>+'Aggregated expenditure (Core)'!G11/(Inflation!F$3)</f>
        <v>1871.5999028818237</v>
      </c>
      <c r="G11" s="74">
        <f>+'Aggregated expenditure (Core)'!H11/(Inflation!G$3)</f>
        <v>1932.9797601783143</v>
      </c>
      <c r="H11" s="74">
        <f>+'Aggregated expenditure (Core)'!I11/(Inflation!H$3)</f>
        <v>2162.1576012723867</v>
      </c>
      <c r="I11" s="74">
        <f>+'Aggregated expenditure (Core)'!J11/(Inflation!I$3)</f>
        <v>2165.0141164187908</v>
      </c>
      <c r="J11" s="74">
        <f>+'Aggregated expenditure (Core)'!K11/(Inflation!J$3)</f>
        <v>2110.8626786549744</v>
      </c>
      <c r="K11" s="74">
        <f>+'Aggregated expenditure (Core)'!L11/(Inflation!K$3)</f>
        <v>2310.2395555970043</v>
      </c>
      <c r="L11" s="74">
        <f>+'Aggregated expenditure (Core)'!M11/(Inflation!L$3)</f>
        <v>2277.8885243409072</v>
      </c>
      <c r="M11" s="74">
        <f>+'Aggregated expenditure (Core)'!N11/(Inflation!M$3)</f>
        <v>2365.0740203875062</v>
      </c>
      <c r="N11" s="74">
        <f>+'Aggregated expenditure (Core)'!O11/(Inflation!N$3)</f>
        <v>2466.8034602756334</v>
      </c>
      <c r="O11" s="74">
        <f>+'Aggregated expenditure (Core)'!P11/(Inflation!O$3)</f>
        <v>2682.0000000000005</v>
      </c>
      <c r="P11" s="74">
        <f>+'Aggregated expenditure (Core)'!Q11/(Inflation!P$3)</f>
        <v>3175.2941165020852</v>
      </c>
      <c r="Q11" s="74">
        <f>+'Aggregated expenditure (Core)'!R11/(Inflation!Q$3)</f>
        <v>3273.1385477259505</v>
      </c>
      <c r="R11" s="74">
        <f>+'Aggregated expenditure (Core)'!S11/(Inflation!R$3)</f>
        <v>3429.0471765355542</v>
      </c>
      <c r="S11" s="74">
        <f>+'Aggregated expenditure (Core)'!T11/(Inflation!S$3)</f>
        <v>3484.2584160234169</v>
      </c>
      <c r="T11" s="74">
        <f>+'Aggregated expenditure (Core)'!U11/(Inflation!T$3)</f>
        <v>3507.6923060011272</v>
      </c>
      <c r="U11" s="74">
        <f>+'Aggregated expenditure (Core)'!V11/(Inflation!U$3)</f>
        <v>3496.2328770059166</v>
      </c>
      <c r="V11" s="74">
        <f>+'Aggregated expenditure (Core)'!W11/(Inflation!V$3)</f>
        <v>3526.5306106272524</v>
      </c>
      <c r="W11" s="74">
        <f>+'Aggregated expenditure (Core)'!X11/(Inflation!W$3)</f>
        <v>3515.6485340319423</v>
      </c>
      <c r="X11" s="74">
        <f>+'Aggregated expenditure (Core)'!Y11/(Inflation!X$3)</f>
        <v>3515</v>
      </c>
      <c r="Y11" s="74">
        <f>+'Aggregated expenditure (Core)'!Z11/(Inflation!Y$3)</f>
        <v>3632.863068414119</v>
      </c>
      <c r="Z11" s="74">
        <f>+'Aggregated expenditure (Core)'!AA11/(Inflation!Z$3)</f>
        <v>3799.6737350040003</v>
      </c>
      <c r="AA11" s="74">
        <f>+'Aggregated expenditure (Core)'!AB11/(Inflation!AA$3)</f>
        <v>3910.3448934142007</v>
      </c>
      <c r="AB11" s="74">
        <f>+'Aggregated expenditure (Core)'!AC11/(Inflation!AB$3)</f>
        <v>4081.1323059884389</v>
      </c>
      <c r="AC11" s="74">
        <f>+'Aggregated expenditure (Core)'!AD11/(Inflation!AC$3)</f>
        <v>4179.5100482379603</v>
      </c>
      <c r="AD11" s="74">
        <f>+'Aggregated expenditure (Core)'!AE11/(Inflation!AD$3)</f>
        <v>4264.0928032499996</v>
      </c>
      <c r="AE11" s="74">
        <f>+'Aggregated expenditure (Core)'!AF11/(Inflation!AE$3)</f>
        <v>4321.9654009546275</v>
      </c>
    </row>
    <row r="12" spans="1:32" x14ac:dyDescent="0.25">
      <c r="A12" s="24" t="str">
        <f>+'Aggregated expenditure (Core)'!B12</f>
        <v>Welfare</v>
      </c>
      <c r="B12" s="74">
        <f>+'Aggregated expenditure (Core)'!C12/(Inflation!B$3)</f>
        <v>11009.238482777491</v>
      </c>
      <c r="C12" s="74">
        <f>+'Aggregated expenditure (Core)'!D12/(Inflation!C$3)</f>
        <v>10283.589494362806</v>
      </c>
      <c r="D12" s="74">
        <f>+'Aggregated expenditure (Core)'!E12/(Inflation!D$3)</f>
        <v>10230.706961364107</v>
      </c>
      <c r="E12" s="74">
        <f>+'Aggregated expenditure (Core)'!F12/(Inflation!E$3)</f>
        <v>10667.105508724018</v>
      </c>
      <c r="F12" s="74">
        <f>+'Aggregated expenditure (Core)'!G12/(Inflation!F$3)</f>
        <v>11006.767111750349</v>
      </c>
      <c r="G12" s="74">
        <f>+'Aggregated expenditure (Core)'!H12/(Inflation!G$3)</f>
        <v>10639.293059182201</v>
      </c>
      <c r="H12" s="74">
        <f>+'Aggregated expenditure (Core)'!I12/(Inflation!H$3)</f>
        <v>11301.204006650532</v>
      </c>
      <c r="I12" s="74">
        <f>+'Aggregated expenditure (Core)'!J12/(Inflation!I$3)</f>
        <v>11069.712934896339</v>
      </c>
      <c r="J12" s="74">
        <f>+'Aggregated expenditure (Core)'!K12/(Inflation!J$3)</f>
        <v>10867.997723847222</v>
      </c>
      <c r="K12" s="74">
        <f>+'Aggregated expenditure (Core)'!L12/(Inflation!K$3)</f>
        <v>10711.353046290784</v>
      </c>
      <c r="L12" s="74">
        <f>+'Aggregated expenditure (Core)'!M12/(Inflation!L$3)</f>
        <v>10857.409834877508</v>
      </c>
      <c r="M12" s="74">
        <f>+'Aggregated expenditure (Core)'!N12/(Inflation!M$3)</f>
        <v>10732.020636191381</v>
      </c>
      <c r="N12" s="74">
        <f>+'Aggregated expenditure (Core)'!O12/(Inflation!N$3)</f>
        <v>10729.409688877173</v>
      </c>
      <c r="O12" s="74">
        <f>+'Aggregated expenditure (Core)'!P12/(Inflation!O$3)</f>
        <v>11020.800000000001</v>
      </c>
      <c r="P12" s="74">
        <f>+'Aggregated expenditure (Core)'!Q12/(Inflation!P$3)</f>
        <v>11715.294113422662</v>
      </c>
      <c r="Q12" s="74">
        <f>+'Aggregated expenditure (Core)'!R12/(Inflation!Q$3)</f>
        <v>11908.388309953882</v>
      </c>
      <c r="R12" s="74">
        <f>+'Aggregated expenditure (Core)'!S12/(Inflation!R$3)</f>
        <v>12919.148928624403</v>
      </c>
      <c r="S12" s="74">
        <f>+'Aggregated expenditure (Core)'!T12/(Inflation!S$3)</f>
        <v>14080.072790542763</v>
      </c>
      <c r="T12" s="74">
        <f>+'Aggregated expenditure (Core)'!U12/(Inflation!T$3)</f>
        <v>13664.649950196585</v>
      </c>
      <c r="U12" s="74">
        <f>+'Aggregated expenditure (Core)'!V12/(Inflation!U$3)</f>
        <v>12784.9315079229</v>
      </c>
      <c r="V12" s="74">
        <f>+'Aggregated expenditure (Core)'!W12/(Inflation!V$3)</f>
        <v>12761.224483942249</v>
      </c>
      <c r="W12" s="74">
        <f>+'Aggregated expenditure (Core)'!X12/(Inflation!W$3)</f>
        <v>12419.748948559572</v>
      </c>
      <c r="X12" s="74">
        <f>+'Aggregated expenditure (Core)'!Y12/(Inflation!X$3)</f>
        <v>11932</v>
      </c>
      <c r="Y12" s="74">
        <f>+'Aggregated expenditure (Core)'!Z12/(Inflation!Y$3)</f>
        <v>11764.979246229277</v>
      </c>
      <c r="Z12" s="74">
        <f>+'Aggregated expenditure (Core)'!AA12/(Inflation!Z$3)</f>
        <v>11991.190862322001</v>
      </c>
      <c r="AA12" s="74">
        <f>+'Aggregated expenditure (Core)'!AB12/(Inflation!AA$3)</f>
        <v>12057.298954242602</v>
      </c>
      <c r="AB12" s="74">
        <f>+'Aggregated expenditure (Core)'!AC12/(Inflation!AB$3)</f>
        <v>13523.937045398843</v>
      </c>
      <c r="AC12" s="74">
        <f>+'Aggregated expenditure (Core)'!AD12/(Inflation!AC$3)</f>
        <v>13435.063702164307</v>
      </c>
      <c r="AD12" s="74">
        <f>+'Aggregated expenditure (Core)'!AE12/(Inflation!AD$3)</f>
        <v>13444.806957749997</v>
      </c>
      <c r="AE12" s="74">
        <f>+'Aggregated expenditure (Core)'!AF12/(Inflation!AE$3)</f>
        <v>13452.628023604351</v>
      </c>
    </row>
    <row r="13" spans="1:32" x14ac:dyDescent="0.25">
      <c r="A13" s="24" t="str">
        <f>+'Aggregated expenditure (Core)'!B13</f>
        <v>NZ super</v>
      </c>
      <c r="B13" s="74">
        <f>+'Aggregated expenditure (Core)'!C13/(Inflation!B$3)</f>
        <v>8222.811642929466</v>
      </c>
      <c r="C13" s="74">
        <f>+'Aggregated expenditure (Core)'!D13/(Inflation!C$3)</f>
        <v>7807.4151259256141</v>
      </c>
      <c r="D13" s="74">
        <f>+'Aggregated expenditure (Core)'!E13/(Inflation!D$3)</f>
        <v>7436.9456470193181</v>
      </c>
      <c r="E13" s="74">
        <f>+'Aggregated expenditure (Core)'!F13/(Inflation!E$3)</f>
        <v>7416.4693371145086</v>
      </c>
      <c r="F13" s="74">
        <f>+'Aggregated expenditure (Core)'!G13/(Inflation!F$3)</f>
        <v>7431.6331804968122</v>
      </c>
      <c r="G13" s="74">
        <f>+'Aggregated expenditure (Core)'!H13/(Inflation!G$3)</f>
        <v>7338.1372903126194</v>
      </c>
      <c r="H13" s="74">
        <f>+'Aggregated expenditure (Core)'!I13/(Inflation!H$3)</f>
        <v>7314.4104043043844</v>
      </c>
      <c r="I13" s="74">
        <f>+'Aggregated expenditure (Core)'!J13/(Inflation!I$3)</f>
        <v>7166.7482312282373</v>
      </c>
      <c r="J13" s="74">
        <f>+'Aggregated expenditure (Core)'!K13/(Inflation!J$3)</f>
        <v>7222.9584065851268</v>
      </c>
      <c r="K13" s="74">
        <f>+'Aggregated expenditure (Core)'!L13/(Inflation!K$3)</f>
        <v>7265.3234725930024</v>
      </c>
      <c r="L13" s="74">
        <f>+'Aggregated expenditure (Core)'!M13/(Inflation!L$3)</f>
        <v>7411.6765019212226</v>
      </c>
      <c r="M13" s="74">
        <f>+'Aggregated expenditure (Core)'!N13/(Inflation!M$3)</f>
        <v>7557.2007086608919</v>
      </c>
      <c r="N13" s="74">
        <f>+'Aggregated expenditure (Core)'!O13/(Inflation!N$3)</f>
        <v>7590.0685123200192</v>
      </c>
      <c r="O13" s="74">
        <f>+'Aggregated expenditure (Core)'!P13/(Inflation!O$3)</f>
        <v>7696.8000000000011</v>
      </c>
      <c r="P13" s="74">
        <f>+'Aggregated expenditure (Core)'!Q13/(Inflation!P$3)</f>
        <v>8011.764702993406</v>
      </c>
      <c r="Q13" s="74">
        <f>+'Aggregated expenditure (Core)'!R13/(Inflation!Q$3)</f>
        <v>8310.6503278128148</v>
      </c>
      <c r="R13" s="74">
        <f>+'Aggregated expenditure (Core)'!S13/(Inflation!R$3)</f>
        <v>8596.4847313341961</v>
      </c>
      <c r="S13" s="74">
        <f>+'Aggregated expenditure (Core)'!T13/(Inflation!S$3)</f>
        <v>9051.8653302519979</v>
      </c>
      <c r="T13" s="74">
        <f>+'Aggregated expenditure (Core)'!U13/(Inflation!T$3)</f>
        <v>9158.1676706061353</v>
      </c>
      <c r="U13" s="74">
        <f>+'Aggregated expenditure (Core)'!V13/(Inflation!U$3)</f>
        <v>9846.5753432925958</v>
      </c>
      <c r="V13" s="74">
        <f>+'Aggregated expenditure (Core)'!W13/(Inflation!V$3)</f>
        <v>10443.877546229724</v>
      </c>
      <c r="W13" s="74">
        <f>+'Aggregated expenditure (Core)'!X13/(Inflation!W$3)</f>
        <v>10958.661083087858</v>
      </c>
      <c r="X13" s="74">
        <f>+'Aggregated expenditure (Core)'!Y13/(Inflation!X$3)</f>
        <v>11591</v>
      </c>
      <c r="Y13" s="74">
        <f>+'Aggregated expenditure (Core)'!Z13/(Inflation!Y$3)</f>
        <v>12216.099577915569</v>
      </c>
      <c r="Z13" s="74">
        <f>+'Aggregated expenditure (Core)'!AA13/(Inflation!Z$3)</f>
        <v>12766.394777346002</v>
      </c>
      <c r="AA13" s="74">
        <f>+'Aggregated expenditure (Core)'!AB13/(Inflation!AA$3)</f>
        <v>13195.362797573964</v>
      </c>
      <c r="AB13" s="74">
        <f>+'Aggregated expenditure (Core)'!AC13/(Inflation!AB$3)</f>
        <v>13612.575316369941</v>
      </c>
      <c r="AC13" s="74">
        <f>+'Aggregated expenditure (Core)'!AD13/(Inflation!AC$3)</f>
        <v>14191.109526900851</v>
      </c>
      <c r="AD13" s="74">
        <f>+'Aggregated expenditure (Core)'!AE13/(Inflation!AD$3)</f>
        <v>14701.830702300002</v>
      </c>
      <c r="AE13" s="74">
        <f>+'Aggregated expenditure (Core)'!AF13/(Inflation!AE$3)</f>
        <v>15297.412679950998</v>
      </c>
    </row>
    <row r="14" spans="1:32" x14ac:dyDescent="0.25">
      <c r="A14" s="24" t="str">
        <f>+'Aggregated expenditure (Core)'!B14</f>
        <v>All other</v>
      </c>
      <c r="B14" s="74">
        <f>+'Aggregated expenditure (Core)'!C14/(Inflation!B$3)</f>
        <v>4778.1392036281304</v>
      </c>
      <c r="C14" s="74">
        <f>+'Aggregated expenditure (Core)'!D14/(Inflation!C$3)</f>
        <v>1924.3067027939858</v>
      </c>
      <c r="D14" s="74">
        <f>+'Aggregated expenditure (Core)'!E14/(Inflation!D$3)</f>
        <v>2542.2492281083964</v>
      </c>
      <c r="E14" s="74">
        <f>+'Aggregated expenditure (Core)'!F14/(Inflation!E$3)</f>
        <v>2739.1297192961297</v>
      </c>
      <c r="F14" s="74">
        <f>+'Aggregated expenditure (Core)'!G14/(Inflation!F$3)</f>
        <v>3515.2766325789753</v>
      </c>
      <c r="G14" s="74">
        <f>+'Aggregated expenditure (Core)'!H14/(Inflation!G$3)</f>
        <v>4614.7197099870391</v>
      </c>
      <c r="H14" s="74">
        <f>+'Aggregated expenditure (Core)'!I14/(Inflation!H$3)</f>
        <v>5332.5528031381009</v>
      </c>
      <c r="I14" s="74">
        <f>+'Aggregated expenditure (Core)'!J14/(Inflation!I$3)</f>
        <v>4567.5999974086835</v>
      </c>
      <c r="J14" s="74">
        <f>+'Aggregated expenditure (Core)'!K14/(Inflation!J$3)</f>
        <v>5220.3099729747619</v>
      </c>
      <c r="K14" s="74">
        <f>+'Aggregated expenditure (Core)'!L14/(Inflation!K$3)</f>
        <v>5901.5755987466464</v>
      </c>
      <c r="L14" s="74">
        <f>+'Aggregated expenditure (Core)'!M14/(Inflation!L$3)</f>
        <v>5320.3278682702858</v>
      </c>
      <c r="M14" s="74">
        <f>+'Aggregated expenditure (Core)'!N14/(Inflation!M$3)</f>
        <v>5693.886830417453</v>
      </c>
      <c r="N14" s="74">
        <f>+'Aggregated expenditure (Core)'!O14/(Inflation!N$3)</f>
        <v>6709.1564015690847</v>
      </c>
      <c r="O14" s="74">
        <f>+'Aggregated expenditure (Core)'!P14/(Inflation!O$3)</f>
        <v>6936.0000000000009</v>
      </c>
      <c r="P14" s="74">
        <f>+'Aggregated expenditure (Core)'!Q14/(Inflation!P$3)</f>
        <v>7352.9411738192048</v>
      </c>
      <c r="Q14" s="74">
        <f>+'Aggregated expenditure (Core)'!R14/(Inflation!Q$3)</f>
        <v>9031.1027310268546</v>
      </c>
      <c r="R14" s="74">
        <f>+'Aggregated expenditure (Core)'!S14/(Inflation!R$3)</f>
        <v>9134.8751102981787</v>
      </c>
      <c r="S14" s="74">
        <f>+'Aggregated expenditure (Core)'!T14/(Inflation!S$3)</f>
        <v>8392.3566861660856</v>
      </c>
      <c r="T14" s="74">
        <f>+'Aggregated expenditure (Core)'!U14/(Inflation!T$3)</f>
        <v>9564.7363825968041</v>
      </c>
      <c r="U14" s="74">
        <f>+'Aggregated expenditure (Core)'!V14/(Inflation!U$3)</f>
        <v>7352.0547951379194</v>
      </c>
      <c r="V14" s="74">
        <f>+'Aggregated expenditure (Core)'!W14/(Inflation!V$3)</f>
        <v>7540.8163230715836</v>
      </c>
      <c r="W14" s="74">
        <f>+'Aggregated expenditure (Core)'!X14/(Inflation!W$3)</f>
        <v>7585.6066912531542</v>
      </c>
      <c r="X14" s="74">
        <f>+'Aggregated expenditure (Core)'!Y14/(Inflation!X$3)</f>
        <v>7510</v>
      </c>
      <c r="Y14" s="74">
        <f>+'Aggregated expenditure (Core)'!Z14/(Inflation!Y$3)</f>
        <v>7666.058086801504</v>
      </c>
      <c r="Z14" s="74">
        <f>+'Aggregated expenditure (Core)'!AA14/(Inflation!Z$3)</f>
        <v>7851.8760180840009</v>
      </c>
      <c r="AA14" s="74">
        <f>+'Aggregated expenditure (Core)'!AB14/(Inflation!AA$3)</f>
        <v>9152.7746925088759</v>
      </c>
      <c r="AB14" s="74">
        <f>+'Aggregated expenditure (Core)'!AC14/(Inflation!AB$3)</f>
        <v>8689.3794361560686</v>
      </c>
      <c r="AC14" s="74">
        <f>+'Aggregated expenditure (Core)'!AD14/(Inflation!AC$3)</f>
        <v>8432.961008430595</v>
      </c>
      <c r="AD14" s="74">
        <f>+'Aggregated expenditure (Core)'!AE14/(Inflation!AD$3)</f>
        <v>8886.170018249999</v>
      </c>
      <c r="AE14" s="74">
        <f>+'Aggregated expenditure (Core)'!AF14/(Inflation!AE$3)</f>
        <v>8509.8130921796728</v>
      </c>
    </row>
    <row r="15" spans="1:32" x14ac:dyDescent="0.25">
      <c r="A15" s="24" t="str">
        <f>+'Aggregated expenditure (Core)'!B15</f>
        <v>Total core Crown expenses excluding losses</v>
      </c>
      <c r="B15" s="74">
        <f>+'Aggregated expenditure (Core)'!C15/(Inflation!B$3)</f>
        <v>50074.0703670652</v>
      </c>
      <c r="C15" s="74">
        <f>+'Aggregated expenditure (Core)'!D15/(Inflation!C$3)</f>
        <v>46711.323803530664</v>
      </c>
      <c r="D15" s="74">
        <f>+'Aggregated expenditure (Core)'!E15/(Inflation!D$3)</f>
        <v>45811.722901301277</v>
      </c>
      <c r="E15" s="74">
        <f>+'Aggregated expenditure (Core)'!F15/(Inflation!E$3)</f>
        <v>46897.623883288594</v>
      </c>
      <c r="F15" s="74">
        <f>+'Aggregated expenditure (Core)'!G15/(Inflation!F$3)</f>
        <v>48145.848243297994</v>
      </c>
      <c r="G15" s="74">
        <f>+'Aggregated expenditure (Core)'!H15/(Inflation!G$3)</f>
        <v>49166.669572832943</v>
      </c>
      <c r="H15" s="74">
        <f>+'Aggregated expenditure (Core)'!I15/(Inflation!H$3)</f>
        <v>51673.980030409104</v>
      </c>
      <c r="I15" s="74">
        <f>+'Aggregated expenditure (Core)'!J15/(Inflation!I$3)</f>
        <v>51150.049382745972</v>
      </c>
      <c r="J15" s="74">
        <f>+'Aggregated expenditure (Core)'!K15/(Inflation!J$3)</f>
        <v>50270.311125216685</v>
      </c>
      <c r="K15" s="74">
        <f>+'Aggregated expenditure (Core)'!L15/(Inflation!K$3)</f>
        <v>50617.308670524093</v>
      </c>
      <c r="L15" s="74">
        <f>+'Aggregated expenditure (Core)'!M15/(Inflation!L$3)</f>
        <v>52411.140977871502</v>
      </c>
      <c r="M15" s="74">
        <f>+'Aggregated expenditure (Core)'!N15/(Inflation!M$3)</f>
        <v>53746.082540352436</v>
      </c>
      <c r="N15" s="74">
        <f>+'Aggregated expenditure (Core)'!O15/(Inflation!N$3)</f>
        <v>56017.77508804985</v>
      </c>
      <c r="O15" s="74">
        <f>+'Aggregated expenditure (Core)'!P15/(Inflation!O$3)</f>
        <v>59184.000000000007</v>
      </c>
      <c r="P15" s="74">
        <f>+'Aggregated expenditure (Core)'!Q15/(Inflation!P$3)</f>
        <v>63532.941153561362</v>
      </c>
      <c r="Q15" s="74">
        <f>+'Aggregated expenditure (Core)'!R15/(Inflation!Q$3)</f>
        <v>64464.090464663444</v>
      </c>
      <c r="R15" s="74">
        <f>+'Aggregated expenditure (Core)'!S15/(Inflation!R$3)</f>
        <v>71047.548524645041</v>
      </c>
      <c r="S15" s="74">
        <f>+'Aggregated expenditure (Core)'!T15/(Inflation!S$3)</f>
        <v>69895.90535409181</v>
      </c>
      <c r="T15" s="74">
        <f>+'Aggregated expenditure (Core)'!U15/(Inflation!T$3)</f>
        <v>73068.279999343402</v>
      </c>
      <c r="U15" s="74">
        <f>+'Aggregated expenditure (Core)'!V15/(Inflation!U$3)</f>
        <v>70968.493156644341</v>
      </c>
      <c r="V15" s="74">
        <f>+'Aggregated expenditure (Core)'!W15/(Inflation!V$3)</f>
        <v>71740.816293622571</v>
      </c>
      <c r="W15" s="74">
        <f>+'Aggregated expenditure (Core)'!X15/(Inflation!W$3)</f>
        <v>71766.025073310724</v>
      </c>
      <c r="X15" s="74">
        <f>+'Aggregated expenditure (Core)'!Y15/(Inflation!X$3)</f>
        <v>72363</v>
      </c>
      <c r="Y15" s="74">
        <f>+'Aggregated expenditure (Core)'!Z15/(Inflation!Y$3)</f>
        <v>73622.240620829878</v>
      </c>
      <c r="Z15" s="74">
        <f>+'Aggregated expenditure (Core)'!AA15/(Inflation!Z$3)</f>
        <v>74720.065238658004</v>
      </c>
      <c r="AA15" s="74">
        <f>+'Aggregated expenditure (Core)'!AB15/(Inflation!AA$3)</f>
        <v>78817.919422846142</v>
      </c>
      <c r="AB15" s="74">
        <f>+'Aggregated expenditure (Core)'!AC15/(Inflation!AB$3)</f>
        <v>81385.020116739877</v>
      </c>
      <c r="AC15" s="74">
        <f>+'Aggregated expenditure (Core)'!AD15/(Inflation!AC$3)</f>
        <v>82407.146373484429</v>
      </c>
      <c r="AD15" s="74">
        <f>+'Aggregated expenditure (Core)'!AE15/(Inflation!AD$3)</f>
        <v>84037.520375549997</v>
      </c>
      <c r="AE15" s="74">
        <f>+'Aggregated expenditure (Core)'!AF15/(Inflation!AE$3)</f>
        <v>84648.703364689645</v>
      </c>
    </row>
    <row r="16" spans="1:32" x14ac:dyDescent="0.25">
      <c r="A16" s="24"/>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row>
    <row r="17" spans="1:1" x14ac:dyDescent="0.25">
      <c r="A17" s="24"/>
    </row>
    <row r="19" spans="1:1" x14ac:dyDescent="0.25">
      <c r="A19" s="41"/>
    </row>
    <row r="22" spans="1:1" x14ac:dyDescent="0.25">
      <c r="A22" s="41"/>
    </row>
    <row r="23" spans="1:1" x14ac:dyDescent="0.25">
      <c r="A23" s="41"/>
    </row>
    <row r="24" spans="1:1" x14ac:dyDescent="0.25">
      <c r="A24" s="41"/>
    </row>
  </sheetData>
  <mergeCells count="1">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G64"/>
  <sheetViews>
    <sheetView tabSelected="1" workbookViewId="0">
      <selection activeCell="AE32" sqref="AE32:AE63"/>
    </sheetView>
  </sheetViews>
  <sheetFormatPr defaultColWidth="9.140625" defaultRowHeight="15" x14ac:dyDescent="0.25"/>
  <cols>
    <col min="1" max="1" width="42.28515625" style="82" customWidth="1"/>
    <col min="2" max="5" width="9.140625" style="82"/>
    <col min="6" max="8" width="10.5703125" style="82" customWidth="1"/>
    <col min="9" max="10" width="10.7109375" style="82" customWidth="1"/>
    <col min="11" max="22" width="10.5703125" style="82" customWidth="1"/>
    <col min="23" max="23" width="10.7109375" style="82" customWidth="1"/>
    <col min="24" max="24" width="10.5703125" style="82" customWidth="1"/>
    <col min="25" max="25" width="9.140625" style="82"/>
    <col min="26" max="26" width="21.5703125" style="82" customWidth="1"/>
    <col min="27" max="27" width="10.28515625" style="82" bestFit="1" customWidth="1"/>
    <col min="28" max="28" width="11.85546875" style="82" bestFit="1" customWidth="1"/>
    <col min="29" max="29" width="9.140625" style="82"/>
    <col min="30" max="30" width="10.5703125" style="82" customWidth="1"/>
    <col min="31" max="31" width="8.42578125" style="82" customWidth="1"/>
    <col min="32" max="16384" width="9.140625" style="82"/>
  </cols>
  <sheetData>
    <row r="1" spans="1:32" x14ac:dyDescent="0.25">
      <c r="A1" s="82" t="s">
        <v>60</v>
      </c>
      <c r="B1" s="83"/>
      <c r="C1" s="83"/>
      <c r="D1" s="83"/>
      <c r="E1" s="83"/>
      <c r="F1" s="83"/>
      <c r="G1" s="83"/>
      <c r="H1" s="83"/>
      <c r="I1" s="83"/>
      <c r="J1" s="83"/>
      <c r="K1" s="83"/>
      <c r="L1" s="83"/>
      <c r="M1" s="83"/>
      <c r="N1" s="83"/>
      <c r="O1" s="83"/>
      <c r="P1" s="83"/>
      <c r="Q1" s="83"/>
      <c r="R1" s="83"/>
      <c r="S1" s="83"/>
      <c r="T1" s="83"/>
      <c r="U1" s="83"/>
      <c r="V1" s="83"/>
      <c r="W1" s="83"/>
      <c r="X1" s="83"/>
      <c r="Y1" s="83"/>
    </row>
    <row r="2" spans="1:32" s="87" customFormat="1" x14ac:dyDescent="0.25">
      <c r="A2" s="193" t="s">
        <v>0</v>
      </c>
      <c r="B2" s="84">
        <v>34121</v>
      </c>
      <c r="C2" s="85">
        <v>34486</v>
      </c>
      <c r="D2" s="85">
        <v>34851</v>
      </c>
      <c r="E2" s="85">
        <v>35217</v>
      </c>
      <c r="F2" s="85">
        <v>35582</v>
      </c>
      <c r="G2" s="85">
        <v>35947</v>
      </c>
      <c r="H2" s="85">
        <v>36312</v>
      </c>
      <c r="I2" s="85">
        <v>36678</v>
      </c>
      <c r="J2" s="85">
        <v>37043</v>
      </c>
      <c r="K2" s="85">
        <v>37408</v>
      </c>
      <c r="L2" s="85">
        <v>37773</v>
      </c>
      <c r="M2" s="85">
        <v>38139</v>
      </c>
      <c r="N2" s="85">
        <v>38504</v>
      </c>
      <c r="O2" s="85">
        <v>38869</v>
      </c>
      <c r="P2" s="85">
        <v>39234</v>
      </c>
      <c r="Q2" s="85">
        <v>39600</v>
      </c>
      <c r="R2" s="85">
        <v>39965</v>
      </c>
      <c r="S2" s="85">
        <v>40330</v>
      </c>
      <c r="T2" s="85">
        <v>40695</v>
      </c>
      <c r="U2" s="85">
        <v>41061</v>
      </c>
      <c r="V2" s="85">
        <v>41426</v>
      </c>
      <c r="W2" s="85">
        <v>41791</v>
      </c>
      <c r="X2" s="85">
        <v>42156</v>
      </c>
      <c r="Y2" s="86">
        <v>42522</v>
      </c>
      <c r="Z2" s="85">
        <f t="shared" ref="Z2:AE2" si="0">EDATE(Y2,12)</f>
        <v>42887</v>
      </c>
      <c r="AA2" s="85">
        <f t="shared" si="0"/>
        <v>43252</v>
      </c>
      <c r="AB2" s="85">
        <f t="shared" si="0"/>
        <v>43617</v>
      </c>
      <c r="AC2" s="85">
        <f t="shared" si="0"/>
        <v>43983</v>
      </c>
      <c r="AD2" s="85">
        <f t="shared" si="0"/>
        <v>44348</v>
      </c>
      <c r="AE2" s="85">
        <f t="shared" si="0"/>
        <v>44713</v>
      </c>
      <c r="AF2" s="190"/>
    </row>
    <row r="3" spans="1:32" x14ac:dyDescent="0.25">
      <c r="A3" s="194"/>
      <c r="B3" s="88" t="s">
        <v>59</v>
      </c>
      <c r="C3" s="88" t="s">
        <v>59</v>
      </c>
      <c r="D3" s="88" t="s">
        <v>59</v>
      </c>
      <c r="E3" s="88" t="s">
        <v>59</v>
      </c>
      <c r="F3" s="88" t="s">
        <v>59</v>
      </c>
      <c r="G3" s="88" t="s">
        <v>59</v>
      </c>
      <c r="H3" s="88" t="s">
        <v>59</v>
      </c>
      <c r="I3" s="88" t="s">
        <v>59</v>
      </c>
      <c r="J3" s="88" t="s">
        <v>59</v>
      </c>
      <c r="K3" s="88" t="s">
        <v>59</v>
      </c>
      <c r="L3" s="88" t="s">
        <v>59</v>
      </c>
      <c r="M3" s="88" t="s">
        <v>59</v>
      </c>
      <c r="N3" s="88" t="s">
        <v>59</v>
      </c>
      <c r="O3" s="88" t="s">
        <v>59</v>
      </c>
      <c r="P3" s="88" t="s">
        <v>59</v>
      </c>
      <c r="Q3" s="88" t="s">
        <v>59</v>
      </c>
      <c r="R3" s="88" t="s">
        <v>59</v>
      </c>
      <c r="S3" s="88" t="s">
        <v>59</v>
      </c>
      <c r="T3" s="88" t="s">
        <v>59</v>
      </c>
      <c r="U3" s="88" t="s">
        <v>59</v>
      </c>
      <c r="V3" s="88" t="s">
        <v>59</v>
      </c>
      <c r="W3" s="88" t="s">
        <v>59</v>
      </c>
      <c r="X3" s="88" t="s">
        <v>59</v>
      </c>
      <c r="Y3" s="88" t="s">
        <v>59</v>
      </c>
    </row>
    <row r="4" spans="1:32" x14ac:dyDescent="0.25">
      <c r="A4" s="194"/>
      <c r="B4" s="88" t="s">
        <v>51</v>
      </c>
      <c r="C4" s="88" t="s">
        <v>51</v>
      </c>
      <c r="D4" s="88" t="s">
        <v>51</v>
      </c>
      <c r="E4" s="88" t="s">
        <v>51</v>
      </c>
      <c r="F4" s="88" t="s">
        <v>51</v>
      </c>
      <c r="G4" s="88" t="s">
        <v>51</v>
      </c>
      <c r="H4" s="88" t="s">
        <v>51</v>
      </c>
      <c r="I4" s="88" t="s">
        <v>51</v>
      </c>
      <c r="J4" s="88" t="s">
        <v>51</v>
      </c>
      <c r="K4" s="88" t="s">
        <v>51</v>
      </c>
      <c r="L4" s="88" t="s">
        <v>51</v>
      </c>
      <c r="M4" s="88" t="s">
        <v>51</v>
      </c>
      <c r="N4" s="88" t="s">
        <v>51</v>
      </c>
      <c r="O4" s="88" t="s">
        <v>51</v>
      </c>
      <c r="P4" s="88" t="s">
        <v>51</v>
      </c>
      <c r="Q4" s="88" t="s">
        <v>51</v>
      </c>
      <c r="R4" s="88" t="s">
        <v>51</v>
      </c>
      <c r="S4" s="88" t="s">
        <v>51</v>
      </c>
      <c r="T4" s="88" t="s">
        <v>51</v>
      </c>
      <c r="U4" s="88" t="s">
        <v>51</v>
      </c>
      <c r="V4" s="88" t="s">
        <v>51</v>
      </c>
      <c r="W4" s="88" t="s">
        <v>51</v>
      </c>
      <c r="X4" s="88" t="s">
        <v>51</v>
      </c>
      <c r="Y4" s="88" t="s">
        <v>51</v>
      </c>
    </row>
    <row r="5" spans="1:32" s="94" customFormat="1" ht="15.75" customHeight="1" x14ac:dyDescent="0.25">
      <c r="A5" s="91" t="s">
        <v>26</v>
      </c>
      <c r="B5" s="92"/>
      <c r="C5" s="93"/>
      <c r="D5" s="93"/>
      <c r="E5" s="93"/>
      <c r="F5" s="93"/>
      <c r="G5" s="93"/>
      <c r="H5" s="93"/>
      <c r="I5" s="93"/>
      <c r="J5" s="93"/>
      <c r="K5" s="93"/>
      <c r="L5" s="93"/>
      <c r="M5" s="93"/>
      <c r="N5" s="93"/>
      <c r="O5" s="93"/>
      <c r="P5" s="93"/>
      <c r="Q5" s="93"/>
      <c r="R5" s="93"/>
      <c r="S5" s="93"/>
      <c r="T5" s="93"/>
      <c r="U5" s="93"/>
      <c r="V5" s="93"/>
      <c r="W5" s="93"/>
      <c r="X5" s="93"/>
    </row>
    <row r="6" spans="1:32" s="97" customFormat="1" x14ac:dyDescent="0.25">
      <c r="A6" s="95" t="str">
        <f>+'Aggregated expenditure (Core)'!B6</f>
        <v>Core govt services</v>
      </c>
      <c r="B6" s="96">
        <f>IFERROR('Real (Core)'!B6*1000000/Population!D$2,0)</f>
        <v>652.96160195827952</v>
      </c>
      <c r="C6" s="96">
        <f>IFERROR('Real (Core)'!C6*1000000/Population!E$2,0)</f>
        <v>750.12792903969614</v>
      </c>
      <c r="D6" s="96">
        <f>IFERROR('Real (Core)'!D6*1000000/Population!F$2,0)</f>
        <v>549.71757026818432</v>
      </c>
      <c r="E6" s="96">
        <f>IFERROR('Real (Core)'!E6*1000000/Population!G$2,0)</f>
        <v>619.54888111600803</v>
      </c>
      <c r="F6" s="96">
        <f>IFERROR('Real (Core)'!F6*1000000/Population!H$2,0)</f>
        <v>644.10748999436464</v>
      </c>
      <c r="G6" s="96">
        <f>IFERROR('Real (Core)'!G6*1000000/Population!I$2,0)</f>
        <v>588.42553321578907</v>
      </c>
      <c r="H6" s="96">
        <f>IFERROR('Real (Core)'!H6*1000000/Population!J$2,0)</f>
        <v>641.25889845043002</v>
      </c>
      <c r="I6" s="96">
        <f>IFERROR('Real (Core)'!I6*1000000/Population!K$2,0)</f>
        <v>626.83494701472762</v>
      </c>
      <c r="J6" s="96">
        <f>IFERROR('Real (Core)'!J6*1000000/Population!L$2,0)</f>
        <v>634.6866190420053</v>
      </c>
      <c r="K6" s="96">
        <f>IFERROR('Real (Core)'!K6*1000000/Population!M$2,0)</f>
        <v>519.93257910242187</v>
      </c>
      <c r="L6" s="96">
        <f>IFERROR('Real (Core)'!L6*1000000/Population!N$2,0)</f>
        <v>694.79995042450275</v>
      </c>
      <c r="M6" s="96">
        <f>IFERROR('Real (Core)'!M6*1000000/Population!O$2,0)</f>
        <v>656.47118716894249</v>
      </c>
      <c r="N6" s="96">
        <f>IFERROR('Real (Core)'!N6*1000000/Population!P$2,0)</f>
        <v>774.80743865999568</v>
      </c>
      <c r="O6" s="96">
        <f>IFERROR('Real (Core)'!O6*1000000/Population!Q$2,0)</f>
        <v>718.91660672508681</v>
      </c>
      <c r="P6" s="96">
        <f>IFERROR('Real (Core)'!P6*1000000/Population!R$2,0)</f>
        <v>1341.3991824771954</v>
      </c>
      <c r="Q6" s="96">
        <f>IFERROR('Real (Core)'!Q6*1000000/Population!S$2,0)</f>
        <v>895.03599830383666</v>
      </c>
      <c r="R6" s="96">
        <f>IFERROR('Real (Core)'!R6*1000000/Population!T$2,0)</f>
        <v>1365.6124966284935</v>
      </c>
      <c r="S6" s="96">
        <f>IFERROR('Real (Core)'!S6*1000000/Population!U$2,0)</f>
        <v>746.39440383046303</v>
      </c>
      <c r="T6" s="96">
        <f>IFERROR('Real (Core)'!T6*1000000/Population!V$2,0)</f>
        <v>1316.1014671610496</v>
      </c>
      <c r="U6" s="96">
        <f>IFERROR('Real (Core)'!U6*1000000/Population!W$2,0)</f>
        <v>1265.1401161610113</v>
      </c>
      <c r="V6" s="96">
        <f>IFERROR('Real (Core)'!V6*1000000/Population!X$2,0)</f>
        <v>986.38766598035556</v>
      </c>
      <c r="W6" s="96">
        <f>IFERROR('Real (Core)'!W6*1000000/Population!Y$2,0)</f>
        <v>1002.4717481938854</v>
      </c>
      <c r="X6" s="96">
        <f>IFERROR('Real (Core)'!X6*1000000/Population!Z$2,0)</f>
        <v>899.52673665886959</v>
      </c>
      <c r="Y6" s="96">
        <f>IFERROR('Real (Core)'!Y6*1000000/Population!AA$2,0)</f>
        <v>870.44092280465293</v>
      </c>
      <c r="Z6" s="96">
        <f>IFERROR('Real (Core)'!Z6*1000000/Population!AB$2,0)</f>
        <v>807.91906311228854</v>
      </c>
      <c r="AA6" s="96">
        <f>IFERROR('Real (Core)'!AA6*1000000/Population!AC$2,0)</f>
        <v>1060.3622187272515</v>
      </c>
      <c r="AB6" s="96">
        <f>IFERROR('Real (Core)'!AB6*1000000/Population!AD$2,0)</f>
        <v>936.31296380376307</v>
      </c>
      <c r="AC6" s="96">
        <f>IFERROR('Real (Core)'!AC6*1000000/Population!AE$2,0)</f>
        <v>928.16413752804465</v>
      </c>
      <c r="AD6" s="96">
        <f>IFERROR('Real (Core)'!AD6*1000000/Population!AF$2,0)</f>
        <v>893.07993967567461</v>
      </c>
      <c r="AE6" s="96">
        <f>IFERROR('Real (Core)'!AE6*1000000/Population!AG$2,0)</f>
        <v>892.35404883378044</v>
      </c>
    </row>
    <row r="7" spans="1:32" s="98" customFormat="1" x14ac:dyDescent="0.25">
      <c r="A7" s="95" t="str">
        <f>+'Aggregated expenditure (Core)'!B7</f>
        <v>Defence</v>
      </c>
      <c r="B7" s="96">
        <f>IFERROR('Real (Core)'!B7*1000000/Population!D$2,0)</f>
        <v>523.17210320837557</v>
      </c>
      <c r="C7" s="96">
        <f>IFERROR('Real (Core)'!C7*1000000/Population!E$2,0)</f>
        <v>456.69425279317539</v>
      </c>
      <c r="D7" s="96">
        <f>IFERROR('Real (Core)'!D7*1000000/Population!F$2,0)</f>
        <v>415.57007364303786</v>
      </c>
      <c r="E7" s="96">
        <f>IFERROR('Real (Core)'!E7*1000000/Population!G$2,0)</f>
        <v>384.00154292813284</v>
      </c>
      <c r="F7" s="96">
        <f>IFERROR('Real (Core)'!F7*1000000/Population!H$2,0)</f>
        <v>365.52230685942942</v>
      </c>
      <c r="G7" s="96">
        <f>IFERROR('Real (Core)'!G7*1000000/Population!I$2,0)</f>
        <v>401.19922719258358</v>
      </c>
      <c r="H7" s="96">
        <f>IFERROR('Real (Core)'!H7*1000000/Population!J$2,0)</f>
        <v>387.38807355069963</v>
      </c>
      <c r="I7" s="96">
        <f>IFERROR('Real (Core)'!I7*1000000/Population!K$2,0)</f>
        <v>457.11297013296218</v>
      </c>
      <c r="J7" s="96">
        <f>IFERROR('Real (Core)'!J7*1000000/Population!L$2,0)</f>
        <v>438.42090147395464</v>
      </c>
      <c r="K7" s="96">
        <f>IFERROR('Real (Core)'!K7*1000000/Population!M$2,0)</f>
        <v>392.31276423182743</v>
      </c>
      <c r="L7" s="96">
        <f>IFERROR('Real (Core)'!L7*1000000/Population!N$2,0)</f>
        <v>391.11039462862851</v>
      </c>
      <c r="M7" s="96">
        <f>IFERROR('Real (Core)'!M7*1000000/Population!O$2,0)</f>
        <v>411.58953915757223</v>
      </c>
      <c r="N7" s="96">
        <f>IFERROR('Real (Core)'!N7*1000000/Population!P$2,0)</f>
        <v>384.83813178476601</v>
      </c>
      <c r="O7" s="96">
        <f>IFERROR('Real (Core)'!O7*1000000/Population!Q$2,0)</f>
        <v>396.59420307171729</v>
      </c>
      <c r="P7" s="96">
        <f>IFERROR('Real (Core)'!P7*1000000/Population!R$2,0)</f>
        <v>422.52960129109329</v>
      </c>
      <c r="Q7" s="96">
        <f>IFERROR('Real (Core)'!Q7*1000000/Population!S$2,0)</f>
        <v>414.72744863559564</v>
      </c>
      <c r="R7" s="96">
        <f>IFERROR('Real (Core)'!R7*1000000/Population!T$2,0)</f>
        <v>453.31213991616522</v>
      </c>
      <c r="S7" s="96">
        <f>IFERROR('Real (Core)'!S7*1000000/Population!U$2,0)</f>
        <v>455.26545008354407</v>
      </c>
      <c r="T7" s="96">
        <f>IFERROR('Real (Core)'!T7*1000000/Population!V$2,0)</f>
        <v>427.97547260369203</v>
      </c>
      <c r="U7" s="96">
        <f>IFERROR('Real (Core)'!U7*1000000/Population!W$2,0)</f>
        <v>404.62108357691886</v>
      </c>
      <c r="V7" s="96">
        <f>IFERROR('Real (Core)'!V7*1000000/Population!X$2,0)</f>
        <v>414.40227047707526</v>
      </c>
      <c r="W7" s="96">
        <f>IFERROR('Real (Core)'!W7*1000000/Population!Y$2,0)</f>
        <v>403.25995912463941</v>
      </c>
      <c r="X7" s="96">
        <f>IFERROR('Real (Core)'!X7*1000000/Population!Z$2,0)</f>
        <v>426.69858020997663</v>
      </c>
      <c r="Y7" s="96">
        <f>IFERROR('Real (Core)'!Y7*1000000/Population!AA$2,0)</f>
        <v>429.91548259439941</v>
      </c>
      <c r="Z7" s="96">
        <f>IFERROR('Real (Core)'!Z7*1000000/Population!AB$2,0)</f>
        <v>438.15878429086973</v>
      </c>
      <c r="AA7" s="96">
        <f>IFERROR('Real (Core)'!AA7*1000000/Population!AC$2,0)</f>
        <v>448.24942616969474</v>
      </c>
      <c r="AB7" s="96">
        <f>IFERROR('Real (Core)'!AB7*1000000/Population!AD$2,0)</f>
        <v>466.25495273087466</v>
      </c>
      <c r="AC7" s="96">
        <f>IFERROR('Real (Core)'!AC7*1000000/Population!AE$2,0)</f>
        <v>468.5859351473531</v>
      </c>
      <c r="AD7" s="96">
        <f>IFERROR('Real (Core)'!AD7*1000000/Population!AF$2,0)</f>
        <v>470.58579988494859</v>
      </c>
      <c r="AE7" s="96">
        <f>IFERROR('Real (Core)'!AE7*1000000/Population!AG$2,0)</f>
        <v>470.95983959158497</v>
      </c>
      <c r="AF7" s="97" t="str">
        <f t="shared" ref="AF7:AF15" si="1">A7</f>
        <v>Defence</v>
      </c>
    </row>
    <row r="8" spans="1:32" s="98" customFormat="1" x14ac:dyDescent="0.25">
      <c r="A8" s="95" t="str">
        <f>+'Aggregated expenditure (Core)'!B8</f>
        <v>Education</v>
      </c>
      <c r="B8" s="96">
        <f>IFERROR('Real (Core)'!B8*1000000/Population!D$2,0)</f>
        <v>2024.448573284584</v>
      </c>
      <c r="C8" s="96">
        <f>IFERROR('Real (Core)'!C8*1000000/Population!E$2,0)</f>
        <v>2014.41783381699</v>
      </c>
      <c r="D8" s="96">
        <f>IFERROR('Real (Core)'!D8*1000000/Population!F$2,0)</f>
        <v>1970.3682761179768</v>
      </c>
      <c r="E8" s="96">
        <f>IFERROR('Real (Core)'!E8*1000000/Population!G$2,0)</f>
        <v>1959.1996246920924</v>
      </c>
      <c r="F8" s="96">
        <f>IFERROR('Real (Core)'!F8*1000000/Population!H$2,0)</f>
        <v>2061.3758003118987</v>
      </c>
      <c r="G8" s="96">
        <f>IFERROR('Real (Core)'!G8*1000000/Population!I$2,0)</f>
        <v>2152.5374499327909</v>
      </c>
      <c r="H8" s="96">
        <f>IFERROR('Real (Core)'!H8*1000000/Population!J$2,0)</f>
        <v>2218.6429571607546</v>
      </c>
      <c r="I8" s="96">
        <f>IFERROR('Real (Core)'!I8*1000000/Population!K$2,0)</f>
        <v>2313.0576114987903</v>
      </c>
      <c r="J8" s="96">
        <f>IFERROR('Real (Core)'!J8*1000000/Population!L$2,0)</f>
        <v>2165.9828111466873</v>
      </c>
      <c r="K8" s="96">
        <f>IFERROR('Real (Core)'!K8*1000000/Population!M$2,0)</f>
        <v>2185.4049250194657</v>
      </c>
      <c r="L8" s="96">
        <f>IFERROR('Real (Core)'!L8*1000000/Population!N$2,0)</f>
        <v>2288.5992733231515</v>
      </c>
      <c r="M8" s="96">
        <f>IFERROR('Real (Core)'!M8*1000000/Population!O$2,0)</f>
        <v>2381.3170514951835</v>
      </c>
      <c r="N8" s="96">
        <f>IFERROR('Real (Core)'!N8*1000000/Population!P$2,0)</f>
        <v>2393.5422627868197</v>
      </c>
      <c r="O8" s="96">
        <f>IFERROR('Real (Core)'!O8*1000000/Population!Q$2,0)</f>
        <v>2842.9753646081022</v>
      </c>
      <c r="P8" s="96">
        <f>IFERROR('Real (Core)'!P8*1000000/Population!R$2,0)</f>
        <v>2581.6920727535557</v>
      </c>
      <c r="Q8" s="96">
        <f>IFERROR('Real (Core)'!Q8*1000000/Population!S$2,0)</f>
        <v>2535.8910767724547</v>
      </c>
      <c r="R8" s="96">
        <f>IFERROR('Real (Core)'!R8*1000000/Population!T$2,0)</f>
        <v>2955.4300300168879</v>
      </c>
      <c r="S8" s="96">
        <f>IFERROR('Real (Core)'!S8*1000000/Population!U$2,0)</f>
        <v>2942.4102187317922</v>
      </c>
      <c r="T8" s="96">
        <f>IFERROR('Real (Core)'!T8*1000000/Population!V$2,0)</f>
        <v>2756.1715068175854</v>
      </c>
      <c r="U8" s="96">
        <f>IFERROR('Real (Core)'!U8*1000000/Population!W$2,0)</f>
        <v>2716.2754078372191</v>
      </c>
      <c r="V8" s="96">
        <f>IFERROR('Real (Core)'!V8*1000000/Population!X$2,0)</f>
        <v>2872.3314800694843</v>
      </c>
      <c r="W8" s="96">
        <f>IFERROR('Real (Core)'!W8*1000000/Population!Y$2,0)</f>
        <v>2738.8721685439341</v>
      </c>
      <c r="X8" s="96">
        <f>IFERROR('Real (Core)'!X8*1000000/Population!Z$2,0)</f>
        <v>2802.3717565141706</v>
      </c>
      <c r="Y8" s="96">
        <f>IFERROR('Real (Core)'!Y8*1000000/Population!AA$2,0)</f>
        <v>2792.116446188109</v>
      </c>
      <c r="Z8" s="96">
        <f>IFERROR('Real (Core)'!Z8*1000000/Population!AB$2,0)</f>
        <v>2711.6434362381365</v>
      </c>
      <c r="AA8" s="96">
        <f>IFERROR('Real (Core)'!AA8*1000000/Population!AC$2,0)</f>
        <v>2779.9380527177495</v>
      </c>
      <c r="AB8" s="96">
        <f>IFERROR('Real (Core)'!AB8*1000000/Population!AD$2,0)</f>
        <v>2894.5077041065965</v>
      </c>
      <c r="AC8" s="96">
        <f>IFERROR('Real (Core)'!AC8*1000000/Population!AE$2,0)</f>
        <v>2934.6825691221438</v>
      </c>
      <c r="AD8" s="96">
        <f>IFERROR('Real (Core)'!AD8*1000000/Population!AF$2,0)</f>
        <v>2990.9450233414295</v>
      </c>
      <c r="AE8" s="96">
        <f>IFERROR('Real (Core)'!AE8*1000000/Population!AG$2,0)</f>
        <v>2999.1523924999865</v>
      </c>
      <c r="AF8" s="97" t="str">
        <f t="shared" si="1"/>
        <v>Education</v>
      </c>
    </row>
    <row r="9" spans="1:32" s="98" customFormat="1" x14ac:dyDescent="0.25">
      <c r="A9" s="95" t="str">
        <f>+'Aggregated expenditure (Core)'!B9</f>
        <v>Finance costs</v>
      </c>
      <c r="B9" s="96">
        <f>IFERROR('Real (Core)'!B9*1000000/Population!D$2,0)</f>
        <v>1766.6536238775584</v>
      </c>
      <c r="C9" s="96">
        <f>IFERROR('Real (Core)'!C9*1000000/Population!E$2,0)</f>
        <v>1649.1495038899413</v>
      </c>
      <c r="D9" s="96">
        <f>IFERROR('Real (Core)'!D9*1000000/Population!F$2,0)</f>
        <v>1541.260381714603</v>
      </c>
      <c r="E9" s="96">
        <f>IFERROR('Real (Core)'!E9*1000000/Population!G$2,0)</f>
        <v>1465.9357870751298</v>
      </c>
      <c r="F9" s="96">
        <f>IFERROR('Real (Core)'!F9*1000000/Population!H$2,0)</f>
        <v>1186.9815292517626</v>
      </c>
      <c r="G9" s="96">
        <f>IFERROR('Real (Core)'!G9*1000000/Population!I$2,0)</f>
        <v>1056.3029418291119</v>
      </c>
      <c r="H9" s="96">
        <f>IFERROR('Real (Core)'!H9*1000000/Population!J$2,0)</f>
        <v>946.27999325588382</v>
      </c>
      <c r="I9" s="96">
        <f>IFERROR('Real (Core)'!I9*1000000/Population!K$2,0)</f>
        <v>869.87095278710444</v>
      </c>
      <c r="J9" s="96">
        <f>IFERROR('Real (Core)'!J9*1000000/Population!L$2,0)</f>
        <v>813.30254186472746</v>
      </c>
      <c r="K9" s="96">
        <f>IFERROR('Real (Core)'!K9*1000000/Population!M$2,0)</f>
        <v>715.07610554475946</v>
      </c>
      <c r="L9" s="96">
        <f>IFERROR('Real (Core)'!L9*1000000/Population!N$2,0)</f>
        <v>769.8252971839562</v>
      </c>
      <c r="M9" s="96">
        <f>IFERROR('Real (Core)'!M9*1000000/Population!O$2,0)</f>
        <v>707.01727092513556</v>
      </c>
      <c r="N9" s="96">
        <f>IFERROR('Real (Core)'!N9*1000000/Population!P$2,0)</f>
        <v>686.37012680671205</v>
      </c>
      <c r="O9" s="96">
        <f>IFERROR('Real (Core)'!O9*1000000/Population!Q$2,0)</f>
        <v>675.61528737307731</v>
      </c>
      <c r="P9" s="96">
        <f>IFERROR('Real (Core)'!P9*1000000/Population!R$2,0)</f>
        <v>648.69574252271354</v>
      </c>
      <c r="Q9" s="96">
        <f>IFERROR('Real (Core)'!Q9*1000000/Population!S$2,0)</f>
        <v>653.15590502148859</v>
      </c>
      <c r="R9" s="96">
        <f>IFERROR('Real (Core)'!R9*1000000/Population!T$2,0)</f>
        <v>626.69048825063487</v>
      </c>
      <c r="S9" s="96">
        <f>IFERROR('Real (Core)'!S9*1000000/Population!U$2,0)</f>
        <v>579.99914836993958</v>
      </c>
      <c r="T9" s="96">
        <f>IFERROR('Real (Core)'!T9*1000000/Population!V$2,0)</f>
        <v>725.35809784572677</v>
      </c>
      <c r="U9" s="96">
        <f>IFERROR('Real (Core)'!U9*1000000/Population!W$2,0)</f>
        <v>818.33215693465559</v>
      </c>
      <c r="V9" s="96">
        <f>IFERROR('Real (Core)'!V9*1000000/Population!X$2,0)</f>
        <v>831.33138406681564</v>
      </c>
      <c r="W9" s="96">
        <f>IFERROR('Real (Core)'!W9*1000000/Population!Y$2,0)</f>
        <v>806.07457318122283</v>
      </c>
      <c r="X9" s="96">
        <f>IFERROR('Real (Core)'!X9*1000000/Population!Z$2,0)</f>
        <v>823.15182505575808</v>
      </c>
      <c r="Y9" s="96">
        <f>IFERROR('Real (Core)'!Y9*1000000/Population!AA$2,0)</f>
        <v>761.79495681830906</v>
      </c>
      <c r="Z9" s="96">
        <f>IFERROR('Real (Core)'!Z9*1000000/Population!AB$2,0)</f>
        <v>721.55318904190756</v>
      </c>
      <c r="AA9" s="96">
        <f>IFERROR('Real (Core)'!AA9*1000000/Population!AC$2,0)</f>
        <v>695.23189144995035</v>
      </c>
      <c r="AB9" s="96">
        <f>IFERROR('Real (Core)'!AB9*1000000/Population!AD$2,0)</f>
        <v>657.92909316836324</v>
      </c>
      <c r="AC9" s="96">
        <f>IFERROR('Real (Core)'!AC9*1000000/Population!AE$2,0)</f>
        <v>634.58558184725894</v>
      </c>
      <c r="AD9" s="96">
        <f>IFERROR('Real (Core)'!AD9*1000000/Population!AF$2,0)</f>
        <v>624.83534670567758</v>
      </c>
      <c r="AE9" s="96">
        <f>IFERROR('Real (Core)'!AE9*1000000/Population!AG$2,0)</f>
        <v>570.60920792467789</v>
      </c>
      <c r="AF9" s="97" t="str">
        <f t="shared" si="1"/>
        <v>Finance costs</v>
      </c>
    </row>
    <row r="10" spans="1:32" s="98" customFormat="1" x14ac:dyDescent="0.25">
      <c r="A10" s="95" t="str">
        <f>+'Aggregated expenditure (Core)'!B10</f>
        <v>Health</v>
      </c>
      <c r="B10" s="96">
        <f>IFERROR('Real (Core)'!B10*1000000/Population!D$2,0)</f>
        <v>1858.9781126790365</v>
      </c>
      <c r="C10" s="96">
        <f>IFERROR('Real (Core)'!C10*1000000/Population!E$2,0)</f>
        <v>2003.5337953805463</v>
      </c>
      <c r="D10" s="96">
        <f>IFERROR('Real (Core)'!D10*1000000/Population!F$2,0)</f>
        <v>2004.4179465151853</v>
      </c>
      <c r="E10" s="96">
        <f>IFERROR('Real (Core)'!E10*1000000/Population!G$2,0)</f>
        <v>2069.649553018844</v>
      </c>
      <c r="F10" s="96">
        <f>IFERROR('Real (Core)'!F10*1000000/Population!H$2,0)</f>
        <v>2173.8144803289115</v>
      </c>
      <c r="G10" s="96">
        <f>IFERROR('Real (Core)'!G10*1000000/Population!I$2,0)</f>
        <v>2260.6540491856281</v>
      </c>
      <c r="H10" s="96">
        <f>IFERROR('Real (Core)'!H10*1000000/Population!J$2,0)</f>
        <v>2472.1376771347077</v>
      </c>
      <c r="I10" s="96">
        <f>IFERROR('Real (Core)'!I10*1000000/Population!K$2,0)</f>
        <v>2519.8031729703143</v>
      </c>
      <c r="J10" s="96">
        <f>IFERROR('Real (Core)'!J10*1000000/Population!L$2,0)</f>
        <v>2350.9526600777276</v>
      </c>
      <c r="K10" s="96">
        <f>IFERROR('Real (Core)'!K10*1000000/Population!M$2,0)</f>
        <v>2374.1336988624871</v>
      </c>
      <c r="L10" s="96">
        <f>IFERROR('Real (Core)'!L10*1000000/Population!N$2,0)</f>
        <v>2446.8048958376503</v>
      </c>
      <c r="M10" s="96">
        <f>IFERROR('Real (Core)'!M10*1000000/Population!O$2,0)</f>
        <v>2546.4551884874668</v>
      </c>
      <c r="N10" s="96">
        <f>IFERROR('Real (Core)'!N10*1000000/Population!P$2,0)</f>
        <v>2660.0615336620731</v>
      </c>
      <c r="O10" s="96">
        <f>IFERROR('Real (Core)'!O10*1000000/Population!Q$2,0)</f>
        <v>2737.7330851234165</v>
      </c>
      <c r="P10" s="96">
        <f>IFERROR('Real (Core)'!P10*1000000/Population!R$2,0)</f>
        <v>2884.1753601643186</v>
      </c>
      <c r="Q10" s="96">
        <f>IFERROR('Real (Core)'!Q10*1000000/Population!S$2,0)</f>
        <v>2999.4724630194137</v>
      </c>
      <c r="R10" s="96">
        <f>IFERROR('Real (Core)'!R10*1000000/Population!T$2,0)</f>
        <v>3190.9872205367856</v>
      </c>
      <c r="S10" s="96">
        <f>IFERROR('Real (Core)'!S10*1000000/Population!U$2,0)</f>
        <v>3294.7766420599596</v>
      </c>
      <c r="T10" s="96">
        <f>IFERROR('Real (Core)'!T10*1000000/Population!V$2,0)</f>
        <v>3253.7018655160732</v>
      </c>
      <c r="U10" s="96">
        <f>IFERROR('Real (Core)'!U10*1000000/Population!W$2,0)</f>
        <v>3300.365520420029</v>
      </c>
      <c r="V10" s="96">
        <f>IFERROR('Real (Core)'!V10*1000000/Population!X$2,0)</f>
        <v>3330.3792224925928</v>
      </c>
      <c r="W10" s="96">
        <f>IFERROR('Real (Core)'!W10*1000000/Population!Y$2,0)</f>
        <v>3317.3754119485798</v>
      </c>
      <c r="X10" s="96">
        <f>IFERROR('Real (Core)'!X10*1000000/Population!Z$2,0)</f>
        <v>3276.5054670075615</v>
      </c>
      <c r="Y10" s="96">
        <f>IFERROR('Real (Core)'!Y10*1000000/Population!AA$2,0)</f>
        <v>3315.8239541066564</v>
      </c>
      <c r="Z10" s="96">
        <f>IFERROR('Real (Core)'!Z10*1000000/Population!AB$2,0)</f>
        <v>3312.3252365101484</v>
      </c>
      <c r="AA10" s="96">
        <f>IFERROR('Real (Core)'!AA10*1000000/Population!AC$2,0)</f>
        <v>3320.014292901898</v>
      </c>
      <c r="AB10" s="96">
        <f>IFERROR('Real (Core)'!AB10*1000000/Population!AD$2,0)</f>
        <v>3409.2516506981456</v>
      </c>
      <c r="AC10" s="96">
        <f>IFERROR('Real (Core)'!AC10*1000000/Population!AE$2,0)</f>
        <v>3421.1001385218674</v>
      </c>
      <c r="AD10" s="96">
        <f>IFERROR('Real (Core)'!AD10*1000000/Population!AF$2,0)</f>
        <v>3420.5638535164849</v>
      </c>
      <c r="AE10" s="96">
        <f>IFERROR('Real (Core)'!AE10*1000000/Population!AG$2,0)</f>
        <v>3440.9255020252058</v>
      </c>
      <c r="AF10" s="97" t="str">
        <f t="shared" si="1"/>
        <v>Health</v>
      </c>
    </row>
    <row r="11" spans="1:32" s="98" customFormat="1" x14ac:dyDescent="0.25">
      <c r="A11" s="95" t="str">
        <f>+'Aggregated expenditure (Core)'!B11</f>
        <v>Law and order</v>
      </c>
      <c r="B11" s="96">
        <f>IFERROR('Real (Core)'!B11*1000000/Population!D$2,0)</f>
        <v>470.09667244810566</v>
      </c>
      <c r="C11" s="96">
        <f>IFERROR('Real (Core)'!C11*1000000/Population!E$2,0)</f>
        <v>500.66576807640769</v>
      </c>
      <c r="D11" s="96">
        <f>IFERROR('Real (Core)'!D11*1000000/Population!F$2,0)</f>
        <v>488.18202135756661</v>
      </c>
      <c r="E11" s="96">
        <f>IFERROR('Real (Core)'!E11*1000000/Population!G$2,0)</f>
        <v>488.51330306527416</v>
      </c>
      <c r="F11" s="96">
        <f>IFERROR('Real (Core)'!F11*1000000/Population!H$2,0)</f>
        <v>494.96202440478771</v>
      </c>
      <c r="G11" s="96">
        <f>IFERROR('Real (Core)'!G11*1000000/Population!I$2,0)</f>
        <v>506.67883621974164</v>
      </c>
      <c r="H11" s="96">
        <f>IFERROR('Real (Core)'!H11*1000000/Population!J$2,0)</f>
        <v>563.78128374029006</v>
      </c>
      <c r="I11" s="96">
        <f>IFERROR('Real (Core)'!I11*1000000/Population!K$2,0)</f>
        <v>561.21889115763042</v>
      </c>
      <c r="J11" s="96">
        <f>IFERROR('Real (Core)'!J11*1000000/Population!L$2,0)</f>
        <v>543.96667405101778</v>
      </c>
      <c r="K11" s="96">
        <f>IFERROR('Real (Core)'!K11*1000000/Population!M$2,0)</f>
        <v>585.09296076915393</v>
      </c>
      <c r="L11" s="96">
        <f>IFERROR('Real (Core)'!L11*1000000/Population!N$2,0)</f>
        <v>565.62587513431345</v>
      </c>
      <c r="M11" s="96">
        <f>IFERROR('Real (Core)'!M11*1000000/Population!O$2,0)</f>
        <v>578.61138113455809</v>
      </c>
      <c r="N11" s="96">
        <f>IFERROR('Real (Core)'!N11*1000000/Population!P$2,0)</f>
        <v>596.72547963802538</v>
      </c>
      <c r="O11" s="96">
        <f>IFERROR('Real (Core)'!O11*1000000/Population!Q$2,0)</f>
        <v>640.91687915060606</v>
      </c>
      <c r="P11" s="96">
        <f>IFERROR('Real (Core)'!P11*1000000/Population!R$2,0)</f>
        <v>751.75174283761419</v>
      </c>
      <c r="Q11" s="96">
        <f>IFERROR('Real (Core)'!Q11*1000000/Population!S$2,0)</f>
        <v>768.38747525698705</v>
      </c>
      <c r="R11" s="96">
        <f>IFERROR('Real (Core)'!R11*1000000/Population!T$2,0)</f>
        <v>796.97279465056033</v>
      </c>
      <c r="S11" s="96">
        <f>IFERROR('Real (Core)'!S11*1000000/Population!U$2,0)</f>
        <v>800.85559604001617</v>
      </c>
      <c r="T11" s="96">
        <f>IFERROR('Real (Core)'!T11*1000000/Population!V$2,0)</f>
        <v>800.11777133537123</v>
      </c>
      <c r="U11" s="96">
        <f>IFERROR('Real (Core)'!U11*1000000/Population!W$2,0)</f>
        <v>793.15987754162143</v>
      </c>
      <c r="V11" s="96">
        <f>IFERROR('Real (Core)'!V11*1000000/Population!X$2,0)</f>
        <v>793.88816339732386</v>
      </c>
      <c r="W11" s="96">
        <f>IFERROR('Real (Core)'!W11*1000000/Population!Y$2,0)</f>
        <v>779.57654163189545</v>
      </c>
      <c r="X11" s="96">
        <f>IFERROR('Real (Core)'!X11*1000000/Population!Z$2,0)</f>
        <v>764.83707773486378</v>
      </c>
      <c r="Y11" s="96">
        <f>IFERROR('Real (Core)'!Y11*1000000/Population!AA$2,0)</f>
        <v>774.1025076526995</v>
      </c>
      <c r="Z11" s="96">
        <f>IFERROR('Real (Core)'!Z11*1000000/Population!AB$2,0)</f>
        <v>792.60596487285932</v>
      </c>
      <c r="AA11" s="96">
        <f>IFERROR('Real (Core)'!AA11*1000000/Population!AC$2,0)</f>
        <v>801.70349907877858</v>
      </c>
      <c r="AB11" s="96">
        <f>IFERROR('Real (Core)'!AB11*1000000/Population!AD$2,0)</f>
        <v>822.98182521175602</v>
      </c>
      <c r="AC11" s="96">
        <f>IFERROR('Real (Core)'!AC11*1000000/Population!AE$2,0)</f>
        <v>831.28505246619477</v>
      </c>
      <c r="AD11" s="96">
        <f>IFERROR('Real (Core)'!AD11*1000000/Population!AF$2,0)</f>
        <v>838.04170645673094</v>
      </c>
      <c r="AE11" s="96">
        <f>IFERROR('Real (Core)'!AE11*1000000/Population!AG$2,0)</f>
        <v>840.37058285759144</v>
      </c>
      <c r="AF11" s="97" t="str">
        <f t="shared" si="1"/>
        <v>Law and order</v>
      </c>
    </row>
    <row r="12" spans="1:32" s="98" customFormat="1" x14ac:dyDescent="0.25">
      <c r="A12" s="95" t="str">
        <f>+'Aggregated expenditure (Core)'!B12</f>
        <v>Welfare</v>
      </c>
      <c r="B12" s="96">
        <f>IFERROR('Real (Core)'!B12*1000000/Population!D$2,0)</f>
        <v>3081.9210802243688</v>
      </c>
      <c r="C12" s="96">
        <f>IFERROR('Real (Core)'!C12*1000000/Population!E$2,0)</f>
        <v>2840.7705785532612</v>
      </c>
      <c r="D12" s="96">
        <f>IFERROR('Real (Core)'!D12*1000000/Population!F$2,0)</f>
        <v>2785.0783909631696</v>
      </c>
      <c r="E12" s="96">
        <f>IFERROR('Real (Core)'!E12*1000000/Population!G$2,0)</f>
        <v>2858.2812188435205</v>
      </c>
      <c r="F12" s="96">
        <f>IFERROR('Real (Core)'!F12*1000000/Population!H$2,0)</f>
        <v>2910.8420680058048</v>
      </c>
      <c r="G12" s="96">
        <f>IFERROR('Real (Core)'!G12*1000000/Population!I$2,0)</f>
        <v>2788.8055201001839</v>
      </c>
      <c r="H12" s="96">
        <f>IFERROR('Real (Core)'!H12*1000000/Population!J$2,0)</f>
        <v>2946.7820934657589</v>
      </c>
      <c r="I12" s="96">
        <f>IFERROR('Real (Core)'!I12*1000000/Population!K$2,0)</f>
        <v>2869.5110907785311</v>
      </c>
      <c r="J12" s="96">
        <f>IFERROR('Real (Core)'!J12*1000000/Population!L$2,0)</f>
        <v>2800.6694301886923</v>
      </c>
      <c r="K12" s="96">
        <f>IFERROR('Real (Core)'!K12*1000000/Population!M$2,0)</f>
        <v>2712.7651123947785</v>
      </c>
      <c r="L12" s="96">
        <f>IFERROR('Real (Core)'!L12*1000000/Population!N$2,0)</f>
        <v>2696.0195259429647</v>
      </c>
      <c r="M12" s="96">
        <f>IFERROR('Real (Core)'!M12*1000000/Population!O$2,0)</f>
        <v>2625.5707978449864</v>
      </c>
      <c r="N12" s="96">
        <f>IFERROR('Real (Core)'!N12*1000000/Population!P$2,0)</f>
        <v>2595.4690942880025</v>
      </c>
      <c r="O12" s="96">
        <f>IFERROR('Real (Core)'!O12*1000000/Population!Q$2,0)</f>
        <v>2633.6378604560027</v>
      </c>
      <c r="P12" s="96">
        <f>IFERROR('Real (Core)'!P12*1000000/Population!R$2,0)</f>
        <v>2773.5990571237357</v>
      </c>
      <c r="Q12" s="96">
        <f>IFERROR('Real (Core)'!Q12*1000000/Population!S$2,0)</f>
        <v>2795.560375598071</v>
      </c>
      <c r="R12" s="96">
        <f>IFERROR('Real (Core)'!R12*1000000/Population!T$2,0)</f>
        <v>3002.644669518686</v>
      </c>
      <c r="S12" s="96">
        <f>IFERROR('Real (Core)'!S12*1000000/Population!U$2,0)</f>
        <v>3236.299878074587</v>
      </c>
      <c r="T12" s="96">
        <f>IFERROR('Real (Core)'!T12*1000000/Population!V$2,0)</f>
        <v>3116.9579057786855</v>
      </c>
      <c r="U12" s="96">
        <f>IFERROR('Real (Core)'!U12*1000000/Population!W$2,0)</f>
        <v>2900.4059700640428</v>
      </c>
      <c r="V12" s="96">
        <f>IFERROR('Real (Core)'!V12*1000000/Population!X$2,0)</f>
        <v>2872.7909060899688</v>
      </c>
      <c r="W12" s="96">
        <f>IFERROR('Real (Core)'!W12*1000000/Population!Y$2,0)</f>
        <v>2754.0139008578353</v>
      </c>
      <c r="X12" s="96">
        <f>IFERROR('Real (Core)'!X12*1000000/Population!Z$2,0)</f>
        <v>2596.311809824294</v>
      </c>
      <c r="Y12" s="96">
        <f>IFERROR('Real (Core)'!Y12*1000000/Population!AA$2,0)</f>
        <v>2506.9207854739561</v>
      </c>
      <c r="Z12" s="96">
        <f>IFERROR('Real (Core)'!Z12*1000000/Population!AB$2,0)</f>
        <v>2501.343553749974</v>
      </c>
      <c r="AA12" s="96">
        <f>IFERROR('Real (Core)'!AA12*1000000/Population!AC$2,0)</f>
        <v>2472.0015815830711</v>
      </c>
      <c r="AB12" s="96">
        <f>IFERROR('Real (Core)'!AB12*1000000/Population!AD$2,0)</f>
        <v>2727.1731370579955</v>
      </c>
      <c r="AC12" s="96">
        <f>IFERROR('Real (Core)'!AC12*1000000/Population!AE$2,0)</f>
        <v>2672.1714999222927</v>
      </c>
      <c r="AD12" s="96">
        <f>IFERROR('Real (Core)'!AD12*1000000/Population!AF$2,0)</f>
        <v>2642.3695462881196</v>
      </c>
      <c r="AE12" s="96">
        <f>IFERROR('Real (Core)'!AE12*1000000/Population!AG$2,0)</f>
        <v>2615.7527431074964</v>
      </c>
      <c r="AF12" s="97" t="str">
        <f t="shared" si="1"/>
        <v>Welfare</v>
      </c>
    </row>
    <row r="13" spans="1:32" s="98" customFormat="1" x14ac:dyDescent="0.25">
      <c r="A13" s="95" t="str">
        <f>+'Aggregated expenditure (Core)'!B13</f>
        <v>NZ super</v>
      </c>
      <c r="B13" s="96">
        <f>IFERROR('Real (Core)'!B13*1000000/Population!D$2,0)</f>
        <v>2301.8900517690686</v>
      </c>
      <c r="C13" s="96">
        <f>IFERROR('Real (Core)'!C13*1000000/Population!E$2,0)</f>
        <v>2156.7445099242027</v>
      </c>
      <c r="D13" s="96">
        <f>IFERROR('Real (Core)'!D13*1000000/Population!F$2,0)</f>
        <v>2024.5401118907057</v>
      </c>
      <c r="E13" s="96">
        <f>IFERROR('Real (Core)'!E13*1000000/Population!G$2,0)</f>
        <v>1987.2640238784857</v>
      </c>
      <c r="F13" s="96">
        <f>IFERROR('Real (Core)'!F13*1000000/Population!H$2,0)</f>
        <v>1965.3646048969433</v>
      </c>
      <c r="G13" s="96">
        <f>IFERROR('Real (Core)'!G13*1000000/Population!I$2,0)</f>
        <v>1923.4960131881046</v>
      </c>
      <c r="H13" s="96">
        <f>IFERROR('Real (Core)'!H13*1000000/Population!J$2,0)</f>
        <v>1907.2280786170854</v>
      </c>
      <c r="I13" s="96">
        <f>IFERROR('Real (Core)'!I13*1000000/Population!K$2,0)</f>
        <v>1857.7774920880931</v>
      </c>
      <c r="J13" s="96">
        <f>IFERROR('Real (Core)'!J13*1000000/Population!L$2,0)</f>
        <v>1861.3473538423211</v>
      </c>
      <c r="K13" s="96">
        <f>IFERROR('Real (Core)'!K13*1000000/Population!M$2,0)</f>
        <v>1840.0211403299993</v>
      </c>
      <c r="L13" s="96">
        <f>IFERROR('Real (Core)'!L13*1000000/Population!N$2,0)</f>
        <v>1840.404375725373</v>
      </c>
      <c r="M13" s="96">
        <f>IFERROR('Real (Core)'!M13*1000000/Population!O$2,0)</f>
        <v>1848.856442485845</v>
      </c>
      <c r="N13" s="96">
        <f>IFERROR('Real (Core)'!N13*1000000/Population!P$2,0)</f>
        <v>1836.0551808993973</v>
      </c>
      <c r="O13" s="96">
        <f>IFERROR('Real (Core)'!O13*1000000/Population!Q$2,0)</f>
        <v>1839.3023994952962</v>
      </c>
      <c r="P13" s="96">
        <f>IFERROR('Real (Core)'!P13*1000000/Population!R$2,0)</f>
        <v>1896.7874652553367</v>
      </c>
      <c r="Q13" s="96">
        <f>IFERROR('Real (Core)'!Q13*1000000/Population!S$2,0)</f>
        <v>1950.9713780885768</v>
      </c>
      <c r="R13" s="96">
        <f>IFERROR('Real (Core)'!R13*1000000/Population!T$2,0)</f>
        <v>1997.9790617591257</v>
      </c>
      <c r="S13" s="96">
        <f>IFERROR('Real (Core)'!S13*1000000/Population!U$2,0)</f>
        <v>2080.5681263465162</v>
      </c>
      <c r="T13" s="96">
        <f>IFERROR('Real (Core)'!T13*1000000/Population!V$2,0)</f>
        <v>2089.0123952960753</v>
      </c>
      <c r="U13" s="96">
        <f>IFERROR('Real (Core)'!U13*1000000/Population!W$2,0)</f>
        <v>2233.8067194707314</v>
      </c>
      <c r="V13" s="96">
        <f>IFERROR('Real (Core)'!V13*1000000/Population!X$2,0)</f>
        <v>2351.1126598297478</v>
      </c>
      <c r="W13" s="96">
        <f>IFERROR('Real (Core)'!W13*1000000/Population!Y$2,0)</f>
        <v>2430.0253638471509</v>
      </c>
      <c r="X13" s="96">
        <f>IFERROR('Real (Core)'!X13*1000000/Population!Z$2,0)</f>
        <v>2522.1128216286788</v>
      </c>
      <c r="Y13" s="96">
        <f>IFERROR('Real (Core)'!Y13*1000000/Population!AA$2,0)</f>
        <v>2603.0470014735924</v>
      </c>
      <c r="Z13" s="96">
        <f>IFERROR('Real (Core)'!Z13*1000000/Population!AB$2,0)</f>
        <v>2663.0498711583477</v>
      </c>
      <c r="AA13" s="96">
        <f>IFERROR('Real (Core)'!AA13*1000000/Population!AC$2,0)</f>
        <v>2705.3287663310052</v>
      </c>
      <c r="AB13" s="96">
        <f>IFERROR('Real (Core)'!AB13*1000000/Population!AD$2,0)</f>
        <v>2745.0475112654599</v>
      </c>
      <c r="AC13" s="96">
        <f>IFERROR('Real (Core)'!AC13*1000000/Population!AE$2,0)</f>
        <v>2822.5454877412553</v>
      </c>
      <c r="AD13" s="96">
        <f>IFERROR('Real (Core)'!AD13*1000000/Population!AF$2,0)</f>
        <v>2889.4181853647378</v>
      </c>
      <c r="AE13" s="96">
        <f>IFERROR('Real (Core)'!AE13*1000000/Population!AG$2,0)</f>
        <v>2974.4559285976779</v>
      </c>
      <c r="AF13" s="97" t="str">
        <f t="shared" si="1"/>
        <v>NZ super</v>
      </c>
    </row>
    <row r="14" spans="1:32" s="98" customFormat="1" x14ac:dyDescent="0.25">
      <c r="A14" s="95" t="str">
        <f>+'Aggregated expenditure (Core)'!B14</f>
        <v>All other</v>
      </c>
      <c r="B14" s="96">
        <f>IFERROR('Real (Core)'!B14*1000000/Population!D$2,0)</f>
        <v>1337.5900575634428</v>
      </c>
      <c r="C14" s="96">
        <f>IFERROR('Real (Core)'!C14*1000000/Population!E$2,0)</f>
        <v>531.57643723590775</v>
      </c>
      <c r="D14" s="96">
        <f>IFERROR('Real (Core)'!D14*1000000/Population!F$2,0)</f>
        <v>692.06980674807983</v>
      </c>
      <c r="E14" s="96">
        <f>IFERROR('Real (Core)'!E14*1000000/Population!G$2,0)</f>
        <v>733.95758823583321</v>
      </c>
      <c r="F14" s="96">
        <f>IFERROR('Real (Core)'!F14*1000000/Population!H$2,0)</f>
        <v>929.64764302725916</v>
      </c>
      <c r="G14" s="96">
        <f>IFERROR('Real (Core)'!G14*1000000/Population!I$2,0)</f>
        <v>1209.625087807874</v>
      </c>
      <c r="H14" s="96">
        <f>IFERROR('Real (Core)'!H14*1000000/Population!J$2,0)</f>
        <v>1390.4599105989676</v>
      </c>
      <c r="I14" s="96">
        <f>IFERROR('Real (Core)'!I14*1000000/Population!K$2,0)</f>
        <v>1184.0215665833746</v>
      </c>
      <c r="J14" s="96">
        <f>IFERROR('Real (Core)'!J14*1000000/Population!L$2,0)</f>
        <v>1345.267355488922</v>
      </c>
      <c r="K14" s="96">
        <f>IFERROR('Real (Core)'!K14*1000000/Population!M$2,0)</f>
        <v>1494.6373556405333</v>
      </c>
      <c r="L14" s="96">
        <f>IFERROR('Real (Core)'!L14*1000000/Population!N$2,0)</f>
        <v>1321.0984972860265</v>
      </c>
      <c r="M14" s="96">
        <f>IFERROR('Real (Core)'!M14*1000000/Population!O$2,0)</f>
        <v>1392.999836187756</v>
      </c>
      <c r="N14" s="96">
        <f>IFERROR('Real (Core)'!N14*1000000/Population!P$2,0)</f>
        <v>1622.9604977307349</v>
      </c>
      <c r="O14" s="96">
        <f>IFERROR('Real (Core)'!O14*1000000/Population!Q$2,0)</f>
        <v>1657.4942109577194</v>
      </c>
      <c r="P14" s="96">
        <f>IFERROR('Real (Core)'!P14*1000000/Population!R$2,0)</f>
        <v>1740.8108161300811</v>
      </c>
      <c r="Q14" s="96">
        <f>IFERROR('Real (Core)'!Q14*1000000/Population!S$2,0)</f>
        <v>2120.1015860148732</v>
      </c>
      <c r="R14" s="96">
        <f>IFERROR('Real (Core)'!R14*1000000/Population!T$2,0)</f>
        <v>2123.1107566136166</v>
      </c>
      <c r="S14" s="96">
        <f>IFERROR('Real (Core)'!S14*1000000/Population!U$2,0)</f>
        <v>1928.9802918093271</v>
      </c>
      <c r="T14" s="96">
        <f>IFERROR('Real (Core)'!T14*1000000/Population!V$2,0)</f>
        <v>2181.7522434224693</v>
      </c>
      <c r="U14" s="96">
        <f>IFERROR('Real (Core)'!U14*1000000/Population!W$2,0)</f>
        <v>1667.8965864495572</v>
      </c>
      <c r="V14" s="96">
        <f>IFERROR('Real (Core)'!V14*1000000/Population!X$2,0)</f>
        <v>1697.5791456904581</v>
      </c>
      <c r="W14" s="96">
        <f>IFERROR('Real (Core)'!W14*1000000/Population!Y$2,0)</f>
        <v>1682.0683220472258</v>
      </c>
      <c r="X14" s="96">
        <f>IFERROR('Real (Core)'!X14*1000000/Population!Z$2,0)</f>
        <v>1634.1184790295381</v>
      </c>
      <c r="Y14" s="96">
        <f>IFERROR('Real (Core)'!Y14*1000000/Population!AA$2,0)</f>
        <v>1633.5090745368643</v>
      </c>
      <c r="Z14" s="96">
        <f>IFERROR('Real (Core)'!Z14*1000000/Population!AB$2,0)</f>
        <v>1637.8889876893554</v>
      </c>
      <c r="AA14" s="96">
        <f>IFERROR('Real (Core)'!AA14*1000000/Population!AC$2,0)</f>
        <v>1876.512608803994</v>
      </c>
      <c r="AB14" s="96">
        <f>IFERROR('Real (Core)'!AB14*1000000/Population!AD$2,0)</f>
        <v>1752.2591310827938</v>
      </c>
      <c r="AC14" s="96">
        <f>IFERROR('Real (Core)'!AC14*1000000/Population!AE$2,0)</f>
        <v>1677.2766074085719</v>
      </c>
      <c r="AD14" s="96">
        <f>IFERROR('Real (Core)'!AD14*1000000/Population!AF$2,0)</f>
        <v>1746.4397304587133</v>
      </c>
      <c r="AE14" s="96">
        <f>IFERROR('Real (Core)'!AE14*1000000/Population!AG$2,0)</f>
        <v>1654.6630814547032</v>
      </c>
      <c r="AF14" s="97" t="str">
        <f t="shared" si="1"/>
        <v>All other</v>
      </c>
    </row>
    <row r="15" spans="1:32" x14ac:dyDescent="0.25">
      <c r="A15" s="95" t="str">
        <f>+'Aggregated expenditure (Core)'!B15</f>
        <v>Total core Crown expenses excluding losses</v>
      </c>
      <c r="B15" s="96">
        <f>IFERROR('Real (Core)'!B15*1000000/Population!D$2,0)</f>
        <v>14017.711877012822</v>
      </c>
      <c r="C15" s="96">
        <f>IFERROR('Real (Core)'!C15*1000000/Population!E$2,0)</f>
        <v>12903.680608710129</v>
      </c>
      <c r="D15" s="96">
        <f>IFERROR('Real (Core)'!D15*1000000/Population!F$2,0)</f>
        <v>12471.204579218511</v>
      </c>
      <c r="E15" s="96">
        <f>IFERROR('Real (Core)'!E15*1000000/Population!G$2,0)</f>
        <v>12566.351522853322</v>
      </c>
      <c r="F15" s="96">
        <f>IFERROR('Real (Core)'!F15*1000000/Population!H$2,0)</f>
        <v>12732.617947081162</v>
      </c>
      <c r="G15" s="96">
        <f>IFERROR('Real (Core)'!G15*1000000/Population!I$2,0)</f>
        <v>12887.724658671808</v>
      </c>
      <c r="H15" s="96">
        <f>IFERROR('Real (Core)'!H15*1000000/Population!J$2,0)</f>
        <v>13473.958965974578</v>
      </c>
      <c r="I15" s="96">
        <f>IFERROR('Real (Core)'!I15*1000000/Population!K$2,0)</f>
        <v>13259.208695011528</v>
      </c>
      <c r="J15" s="96">
        <f>IFERROR('Real (Core)'!J15*1000000/Population!L$2,0)</f>
        <v>12954.596347176055</v>
      </c>
      <c r="K15" s="96">
        <f>IFERROR('Real (Core)'!K15*1000000/Population!M$2,0)</f>
        <v>12819.376641895427</v>
      </c>
      <c r="L15" s="96">
        <f>IFERROR('Real (Core)'!L15*1000000/Population!N$2,0)</f>
        <v>13014.288085486567</v>
      </c>
      <c r="M15" s="96">
        <f>IFERROR('Real (Core)'!M15*1000000/Population!O$2,0)</f>
        <v>13148.888694887446</v>
      </c>
      <c r="N15" s="96">
        <f>IFERROR('Real (Core)'!N15*1000000/Population!P$2,0)</f>
        <v>13550.829746256526</v>
      </c>
      <c r="O15" s="96">
        <f>IFERROR('Real (Core)'!O15*1000000/Population!Q$2,0)</f>
        <v>14143.185896961024</v>
      </c>
      <c r="P15" s="96">
        <f>IFERROR('Real (Core)'!P15*1000000/Population!R$2,0)</f>
        <v>15041.441040555645</v>
      </c>
      <c r="Q15" s="96">
        <f>IFERROR('Real (Core)'!Q15*1000000/Population!S$2,0)</f>
        <v>15133.303706711296</v>
      </c>
      <c r="R15" s="96">
        <f>IFERROR('Real (Core)'!R15*1000000/Population!T$2,0)</f>
        <v>16512.739657890954</v>
      </c>
      <c r="S15" s="96">
        <f>IFERROR('Real (Core)'!S15*1000000/Population!U$2,0)</f>
        <v>16065.549755346145</v>
      </c>
      <c r="T15" s="96">
        <f>IFERROR('Real (Core)'!T15*1000000/Population!V$2,0)</f>
        <v>16667.148725776726</v>
      </c>
      <c r="U15" s="96">
        <f>IFERROR('Real (Core)'!U15*1000000/Population!W$2,0)</f>
        <v>16100.003438455789</v>
      </c>
      <c r="V15" s="96">
        <f>IFERROR('Real (Core)'!V15*1000000/Population!X$2,0)</f>
        <v>16150.202898093823</v>
      </c>
      <c r="W15" s="96">
        <f>IFERROR('Real (Core)'!W15*1000000/Population!Y$2,0)</f>
        <v>15913.737989376372</v>
      </c>
      <c r="X15" s="96">
        <f>IFERROR('Real (Core)'!X15*1000000/Population!Z$2,0)</f>
        <v>15745.634553663711</v>
      </c>
      <c r="Y15" s="96">
        <f>IFERROR('Real (Core)'!Y15*1000000/Population!AA$2,0)</f>
        <v>15687.67113164924</v>
      </c>
      <c r="Z15" s="96">
        <f>IFERROR('Real (Core)'!Z15*1000000/Population!AB$2,0)</f>
        <v>15586.488086663887</v>
      </c>
      <c r="AA15" s="96">
        <f>IFERROR('Real (Core)'!AA15*1000000/Population!AC$2,0)</f>
        <v>16159.342337763392</v>
      </c>
      <c r="AB15" s="96">
        <f>IFERROR('Real (Core)'!AB15*1000000/Population!AD$2,0)</f>
        <v>16411.717969125748</v>
      </c>
      <c r="AC15" s="96">
        <f>IFERROR('Real (Core)'!AC15*1000000/Population!AE$2,0)</f>
        <v>16390.397009704986</v>
      </c>
      <c r="AD15" s="96">
        <f>IFERROR('Real (Core)'!AD15*1000000/Population!AF$2,0)</f>
        <v>16516.279131692518</v>
      </c>
      <c r="AE15" s="96">
        <f>IFERROR('Real (Core)'!AE15*1000000/Population!AG$2,0)</f>
        <v>16459.243326892705</v>
      </c>
      <c r="AF15" s="97" t="str">
        <f t="shared" si="1"/>
        <v>Total core Crown expenses excluding losses</v>
      </c>
    </row>
    <row r="16" spans="1:32" x14ac:dyDescent="0.25">
      <c r="M16" s="99"/>
      <c r="N16" s="99"/>
      <c r="O16" s="99"/>
      <c r="P16" s="99"/>
      <c r="Q16" s="99"/>
      <c r="R16" s="99"/>
      <c r="S16" s="99"/>
      <c r="T16" s="99"/>
      <c r="U16" s="99"/>
      <c r="V16" s="99"/>
      <c r="W16" s="99"/>
      <c r="X16" s="99"/>
    </row>
    <row r="17" spans="1:33" x14ac:dyDescent="0.25">
      <c r="M17" s="99"/>
      <c r="N17" s="99"/>
      <c r="O17" s="99"/>
      <c r="P17" s="99"/>
      <c r="Q17" s="99"/>
      <c r="R17" s="99"/>
      <c r="S17" s="99"/>
      <c r="T17" s="99"/>
      <c r="U17" s="99"/>
      <c r="V17" s="99"/>
      <c r="W17" s="99"/>
      <c r="X17" s="99"/>
    </row>
    <row r="18" spans="1:33" x14ac:dyDescent="0.25">
      <c r="M18" s="99"/>
      <c r="N18" s="99"/>
      <c r="O18" s="99"/>
      <c r="P18" s="99"/>
      <c r="Q18" s="99"/>
      <c r="R18" s="99"/>
      <c r="S18" s="99"/>
      <c r="T18" s="99"/>
      <c r="U18" s="99"/>
      <c r="V18" s="99"/>
      <c r="W18" s="99"/>
      <c r="X18" s="99"/>
      <c r="Z18" s="195" t="s">
        <v>61</v>
      </c>
      <c r="AA18" s="195"/>
      <c r="AB18" s="195"/>
      <c r="AD18" s="195" t="s">
        <v>61</v>
      </c>
      <c r="AE18" s="195"/>
      <c r="AF18" s="195"/>
      <c r="AG18" s="195"/>
    </row>
    <row r="19" spans="1:33" x14ac:dyDescent="0.25">
      <c r="A19" s="100"/>
      <c r="M19" s="99"/>
      <c r="N19" s="99"/>
      <c r="O19" s="99"/>
      <c r="P19" s="99"/>
      <c r="Q19" s="99"/>
      <c r="R19" s="99"/>
      <c r="S19" s="99"/>
      <c r="T19" s="99"/>
      <c r="U19" s="99"/>
      <c r="V19" s="99"/>
      <c r="W19" s="99"/>
      <c r="X19" s="99"/>
      <c r="Z19" s="195"/>
      <c r="AA19" s="195"/>
      <c r="AB19" s="195"/>
      <c r="AD19" s="195"/>
      <c r="AE19" s="195"/>
      <c r="AF19" s="195"/>
      <c r="AG19" s="195"/>
    </row>
    <row r="20" spans="1:33" x14ac:dyDescent="0.25">
      <c r="M20" s="99"/>
      <c r="N20" s="99"/>
      <c r="O20" s="99"/>
      <c r="P20" s="99"/>
      <c r="Q20" s="99"/>
      <c r="R20" s="99"/>
      <c r="S20" s="99"/>
      <c r="T20" s="99"/>
      <c r="U20" s="99"/>
      <c r="V20" s="99"/>
      <c r="W20" s="99"/>
      <c r="X20" s="99"/>
      <c r="AA20" s="82" t="s">
        <v>62</v>
      </c>
      <c r="AB20" s="82" t="s">
        <v>63</v>
      </c>
      <c r="AF20" s="82" t="s">
        <v>62</v>
      </c>
      <c r="AG20" s="82" t="s">
        <v>63</v>
      </c>
    </row>
    <row r="21" spans="1:33" x14ac:dyDescent="0.25">
      <c r="Z21" s="103" t="str">
        <f>+A6</f>
        <v>Core govt services</v>
      </c>
      <c r="AA21" s="104">
        <f>+R54-I54</f>
        <v>3.5425098955953742E-2</v>
      </c>
      <c r="AB21" s="105">
        <f>+Y54-R54</f>
        <v>-2.721487192599209E-2</v>
      </c>
      <c r="AD21" s="103" t="str">
        <f>+A6</f>
        <v>Core govt services</v>
      </c>
      <c r="AE21" s="103"/>
      <c r="AF21" s="104">
        <f>+(R6/I6)^(1/(YEAR($R$2)-YEAR($I$2)))-1</f>
        <v>9.0372576333633825E-2</v>
      </c>
      <c r="AG21" s="104">
        <f>+(Y6/R6)^(1/(YEAR($Y$2)-YEAR($R$2)))-1</f>
        <v>-6.231097872462954E-2</v>
      </c>
    </row>
    <row r="22" spans="1:33" x14ac:dyDescent="0.25">
      <c r="A22" s="100"/>
      <c r="Q22" s="99"/>
      <c r="Z22" s="103" t="str">
        <f t="shared" ref="Z22:Z29" si="2">+A7</f>
        <v>Defence</v>
      </c>
      <c r="AA22" s="104">
        <f t="shared" ref="AA22:AA29" si="3">+R55-I55</f>
        <v>-7.0228648951800726E-3</v>
      </c>
      <c r="AB22" s="105">
        <f t="shared" ref="AB22:AB29" si="4">+Y55-R55</f>
        <v>-4.7595066442276263E-5</v>
      </c>
      <c r="AD22" s="103" t="str">
        <f t="shared" ref="AD22:AD27" si="5">+Z22</f>
        <v>Defence</v>
      </c>
      <c r="AE22" s="103"/>
      <c r="AF22" s="104">
        <f t="shared" ref="AF22:AF28" si="6">+(R7/I7)^(1/(YEAR($R$2)-YEAR($I$2)))-1</f>
        <v>-9.2730545042074564E-4</v>
      </c>
      <c r="AG22" s="104">
        <f t="shared" ref="AG22:AG28" si="7">+(Y7/R7)^(1/(YEAR($Y$2)-YEAR($R$2)))-1</f>
        <v>-7.5417460222697574E-3</v>
      </c>
    </row>
    <row r="23" spans="1:33" x14ac:dyDescent="0.25">
      <c r="A23" s="100"/>
      <c r="V23" s="99"/>
      <c r="Z23" s="103" t="str">
        <f t="shared" si="2"/>
        <v>Education</v>
      </c>
      <c r="AA23" s="104">
        <f t="shared" si="3"/>
        <v>4.5296375709126535E-3</v>
      </c>
      <c r="AB23" s="105">
        <f t="shared" si="4"/>
        <v>-9.9720499467051416E-4</v>
      </c>
      <c r="AD23" s="103" t="str">
        <f t="shared" si="5"/>
        <v>Education</v>
      </c>
      <c r="AE23" s="103"/>
      <c r="AF23" s="104">
        <f t="shared" si="6"/>
        <v>2.7604567073996389E-2</v>
      </c>
      <c r="AG23" s="104">
        <f t="shared" si="7"/>
        <v>-8.08772768007604E-3</v>
      </c>
    </row>
    <row r="24" spans="1:33" x14ac:dyDescent="0.25">
      <c r="A24" s="100"/>
      <c r="N24" s="99"/>
      <c r="O24" s="99"/>
      <c r="P24" s="99"/>
      <c r="V24" s="99"/>
      <c r="Z24" s="103" t="str">
        <f t="shared" si="2"/>
        <v>Finance costs</v>
      </c>
      <c r="AA24" s="104">
        <f t="shared" si="3"/>
        <v>-2.7653103711870027E-2</v>
      </c>
      <c r="AB24" s="105">
        <f t="shared" si="4"/>
        <v>1.0608165963668884E-2</v>
      </c>
      <c r="AD24" s="103" t="str">
        <f t="shared" si="5"/>
        <v>Finance costs</v>
      </c>
      <c r="AE24" s="103"/>
      <c r="AF24" s="104">
        <f t="shared" si="6"/>
        <v>-3.5776779408395298E-2</v>
      </c>
      <c r="AG24" s="104">
        <f t="shared" si="7"/>
        <v>2.8281781853429777E-2</v>
      </c>
    </row>
    <row r="25" spans="1:33" x14ac:dyDescent="0.25">
      <c r="Z25" s="103" t="str">
        <f t="shared" si="2"/>
        <v>Health</v>
      </c>
      <c r="AA25" s="104">
        <f t="shared" si="3"/>
        <v>3.2022149759839968E-3</v>
      </c>
      <c r="AB25" s="105">
        <f t="shared" si="4"/>
        <v>1.8120997144558448E-2</v>
      </c>
      <c r="AD25" s="103" t="str">
        <f t="shared" si="5"/>
        <v>Health</v>
      </c>
      <c r="AE25" s="103"/>
      <c r="AF25" s="104">
        <f t="shared" si="6"/>
        <v>2.6586107873241893E-2</v>
      </c>
      <c r="AG25" s="104">
        <f t="shared" si="7"/>
        <v>5.4973127290545154E-3</v>
      </c>
    </row>
    <row r="26" spans="1:33" x14ac:dyDescent="0.25">
      <c r="N26" s="99"/>
      <c r="O26" s="99"/>
      <c r="P26" s="99"/>
      <c r="Z26" s="103" t="str">
        <f t="shared" si="2"/>
        <v>Law and order</v>
      </c>
      <c r="AA26" s="104">
        <f t="shared" si="3"/>
        <v>5.9373909162667993E-3</v>
      </c>
      <c r="AB26" s="105">
        <f t="shared" si="4"/>
        <v>1.0805247339875576E-3</v>
      </c>
      <c r="AD26" s="103" t="str">
        <f t="shared" si="5"/>
        <v>Law and order</v>
      </c>
      <c r="AE26" s="103"/>
      <c r="AF26" s="104">
        <f t="shared" si="6"/>
        <v>3.9736926613311185E-2</v>
      </c>
      <c r="AG26" s="104">
        <f t="shared" si="7"/>
        <v>-4.1508242540979623E-3</v>
      </c>
    </row>
    <row r="27" spans="1:33" x14ac:dyDescent="0.25">
      <c r="N27" s="99"/>
      <c r="O27" s="99"/>
      <c r="P27" s="99"/>
      <c r="Z27" s="103" t="str">
        <f t="shared" si="2"/>
        <v>Welfare</v>
      </c>
      <c r="AA27" s="104">
        <f t="shared" si="3"/>
        <v>-3.4578398669463911E-2</v>
      </c>
      <c r="AB27" s="105">
        <f t="shared" si="4"/>
        <v>-2.2036095397908545E-2</v>
      </c>
      <c r="AD27" s="103" t="str">
        <f t="shared" si="5"/>
        <v>Welfare</v>
      </c>
      <c r="AE27" s="103"/>
      <c r="AF27" s="104">
        <f t="shared" si="6"/>
        <v>5.0518056924617749E-3</v>
      </c>
      <c r="AG27" s="104">
        <f t="shared" si="7"/>
        <v>-2.5447503002024141E-2</v>
      </c>
    </row>
    <row r="28" spans="1:33" x14ac:dyDescent="0.25">
      <c r="N28" s="99"/>
      <c r="O28" s="99"/>
      <c r="P28" s="99"/>
      <c r="Z28" s="103" t="str">
        <f t="shared" si="2"/>
        <v>NZ super</v>
      </c>
      <c r="AA28" s="104">
        <f t="shared" si="3"/>
        <v>-1.911602574769207E-2</v>
      </c>
      <c r="AB28" s="105">
        <f t="shared" si="4"/>
        <v>4.4933254004460646E-2</v>
      </c>
      <c r="AD28" s="103" t="str">
        <f>+A44</f>
        <v>NZ super</v>
      </c>
      <c r="AE28" s="103"/>
      <c r="AF28" s="104">
        <f t="shared" si="6"/>
        <v>8.1166880386447371E-3</v>
      </c>
      <c r="AG28" s="104">
        <f t="shared" si="7"/>
        <v>3.8515567468313305E-2</v>
      </c>
    </row>
    <row r="29" spans="1:33" x14ac:dyDescent="0.25">
      <c r="N29" s="99"/>
      <c r="O29" s="99"/>
      <c r="P29" s="99"/>
      <c r="Z29" s="103" t="str">
        <f t="shared" si="2"/>
        <v>All other</v>
      </c>
      <c r="AA29" s="104">
        <f t="shared" si="3"/>
        <v>3.9276050605089E-2</v>
      </c>
      <c r="AB29" s="105">
        <f t="shared" si="4"/>
        <v>-2.4447174461662238E-2</v>
      </c>
      <c r="AD29" s="103" t="str">
        <f t="shared" ref="AD29:AD30" si="8">+A45</f>
        <v>All other</v>
      </c>
      <c r="AE29" s="103"/>
      <c r="AF29" s="104">
        <f t="shared" ref="AF29:AF30" si="9">+(R14/I14)^(1/(YEAR($R$2)-YEAR($I$2)))-1</f>
        <v>6.7036379277205738E-2</v>
      </c>
      <c r="AG29" s="104">
        <f t="shared" ref="AG29:AG30" si="10">+(Y14/R14)^(1/(YEAR($Y$2)-YEAR($R$2)))-1</f>
        <v>-3.6757675086806607E-2</v>
      </c>
    </row>
    <row r="30" spans="1:33" x14ac:dyDescent="0.25">
      <c r="N30" s="99"/>
      <c r="O30" s="99"/>
      <c r="P30" s="99"/>
      <c r="Z30" s="103"/>
      <c r="AA30" s="104"/>
      <c r="AB30" s="105"/>
      <c r="AD30" s="103" t="str">
        <f t="shared" si="8"/>
        <v>Total core Crown expenses excluding losses</v>
      </c>
      <c r="AE30" s="103"/>
      <c r="AF30" s="104">
        <f t="shared" si="9"/>
        <v>2.4681885191575104E-2</v>
      </c>
      <c r="AG30" s="104">
        <f t="shared" si="10"/>
        <v>-7.2956931107135414E-3</v>
      </c>
    </row>
    <row r="31" spans="1:33" x14ac:dyDescent="0.25">
      <c r="A31" s="82" t="s">
        <v>52</v>
      </c>
      <c r="N31" s="99"/>
      <c r="O31" s="99"/>
      <c r="P31" s="99"/>
    </row>
    <row r="32" spans="1:33" x14ac:dyDescent="0.25">
      <c r="A32" s="193" t="s">
        <v>0</v>
      </c>
      <c r="B32" s="84">
        <v>34121</v>
      </c>
      <c r="C32" s="85">
        <v>34486</v>
      </c>
      <c r="D32" s="85">
        <v>34851</v>
      </c>
      <c r="E32" s="85">
        <v>35217</v>
      </c>
      <c r="F32" s="85">
        <v>35582</v>
      </c>
      <c r="G32" s="85">
        <v>35947</v>
      </c>
      <c r="H32" s="85">
        <v>36312</v>
      </c>
      <c r="I32" s="85">
        <v>36678</v>
      </c>
      <c r="J32" s="85">
        <v>37043</v>
      </c>
      <c r="K32" s="85">
        <v>37408</v>
      </c>
      <c r="L32" s="85">
        <v>37773</v>
      </c>
      <c r="M32" s="85">
        <v>38139</v>
      </c>
      <c r="N32" s="85">
        <v>38504</v>
      </c>
      <c r="O32" s="85">
        <v>38869</v>
      </c>
      <c r="P32" s="85">
        <v>39234</v>
      </c>
      <c r="Q32" s="85">
        <v>39600</v>
      </c>
      <c r="R32" s="85">
        <v>39965</v>
      </c>
      <c r="S32" s="85">
        <v>40330</v>
      </c>
      <c r="T32" s="85">
        <v>40695</v>
      </c>
      <c r="U32" s="85">
        <v>41061</v>
      </c>
      <c r="V32" s="85">
        <v>41426</v>
      </c>
      <c r="W32" s="85">
        <v>41791</v>
      </c>
      <c r="X32" s="85">
        <v>42156</v>
      </c>
      <c r="Y32" s="86">
        <v>42522</v>
      </c>
      <c r="Z32" s="128">
        <f t="shared" ref="Z32:AE32" si="11">Z2</f>
        <v>42887</v>
      </c>
      <c r="AA32" s="128">
        <f t="shared" si="11"/>
        <v>43252</v>
      </c>
      <c r="AB32" s="128">
        <f t="shared" si="11"/>
        <v>43617</v>
      </c>
      <c r="AC32" s="128">
        <f t="shared" si="11"/>
        <v>43983</v>
      </c>
      <c r="AD32" s="128">
        <f t="shared" si="11"/>
        <v>44348</v>
      </c>
      <c r="AE32" s="128">
        <f t="shared" si="11"/>
        <v>44713</v>
      </c>
    </row>
    <row r="33" spans="1:31" x14ac:dyDescent="0.25">
      <c r="A33" s="194"/>
      <c r="B33" s="88" t="s">
        <v>59</v>
      </c>
      <c r="C33" s="88" t="s">
        <v>59</v>
      </c>
      <c r="D33" s="88" t="s">
        <v>59</v>
      </c>
      <c r="E33" s="88" t="s">
        <v>59</v>
      </c>
      <c r="F33" s="88" t="s">
        <v>59</v>
      </c>
      <c r="G33" s="88" t="s">
        <v>59</v>
      </c>
      <c r="H33" s="88" t="s">
        <v>59</v>
      </c>
      <c r="I33" s="88" t="s">
        <v>59</v>
      </c>
      <c r="J33" s="88" t="s">
        <v>59</v>
      </c>
      <c r="K33" s="88" t="s">
        <v>59</v>
      </c>
      <c r="L33" s="88" t="s">
        <v>59</v>
      </c>
      <c r="M33" s="88" t="s">
        <v>59</v>
      </c>
      <c r="N33" s="88" t="s">
        <v>59</v>
      </c>
      <c r="O33" s="88" t="s">
        <v>59</v>
      </c>
      <c r="P33" s="88" t="s">
        <v>59</v>
      </c>
      <c r="Q33" s="88" t="s">
        <v>59</v>
      </c>
      <c r="R33" s="88" t="s">
        <v>59</v>
      </c>
      <c r="S33" s="88" t="s">
        <v>59</v>
      </c>
      <c r="T33" s="88" t="s">
        <v>59</v>
      </c>
      <c r="U33" s="88" t="s">
        <v>59</v>
      </c>
      <c r="V33" s="88" t="s">
        <v>59</v>
      </c>
      <c r="W33" s="88" t="s">
        <v>59</v>
      </c>
      <c r="X33" s="88" t="s">
        <v>59</v>
      </c>
      <c r="Y33" s="88" t="s">
        <v>59</v>
      </c>
      <c r="Z33" s="88" t="s">
        <v>59</v>
      </c>
      <c r="AA33" s="88" t="s">
        <v>59</v>
      </c>
      <c r="AB33" s="88" t="s">
        <v>59</v>
      </c>
      <c r="AC33" s="88" t="s">
        <v>59</v>
      </c>
      <c r="AD33" s="88" t="s">
        <v>59</v>
      </c>
      <c r="AE33" s="88" t="s">
        <v>59</v>
      </c>
    </row>
    <row r="34" spans="1:31" x14ac:dyDescent="0.25">
      <c r="A34" s="194"/>
      <c r="B34" s="88" t="s">
        <v>53</v>
      </c>
      <c r="C34" s="88" t="s">
        <v>53</v>
      </c>
      <c r="D34" s="88" t="s">
        <v>53</v>
      </c>
      <c r="E34" s="88" t="s">
        <v>53</v>
      </c>
      <c r="F34" s="88" t="s">
        <v>53</v>
      </c>
      <c r="G34" s="88" t="s">
        <v>53</v>
      </c>
      <c r="H34" s="88" t="s">
        <v>53</v>
      </c>
      <c r="I34" s="88" t="s">
        <v>53</v>
      </c>
      <c r="J34" s="88" t="s">
        <v>53</v>
      </c>
      <c r="K34" s="88" t="s">
        <v>53</v>
      </c>
      <c r="L34" s="88" t="s">
        <v>53</v>
      </c>
      <c r="M34" s="88" t="s">
        <v>53</v>
      </c>
      <c r="N34" s="88" t="s">
        <v>53</v>
      </c>
      <c r="O34" s="88" t="s">
        <v>53</v>
      </c>
      <c r="P34" s="88" t="s">
        <v>53</v>
      </c>
      <c r="Q34" s="88" t="s">
        <v>53</v>
      </c>
      <c r="R34" s="88" t="s">
        <v>53</v>
      </c>
      <c r="S34" s="88" t="s">
        <v>53</v>
      </c>
      <c r="T34" s="88" t="s">
        <v>53</v>
      </c>
      <c r="U34" s="88" t="s">
        <v>53</v>
      </c>
      <c r="V34" s="88" t="s">
        <v>53</v>
      </c>
      <c r="W34" s="88" t="s">
        <v>53</v>
      </c>
      <c r="X34" s="88" t="s">
        <v>53</v>
      </c>
      <c r="Y34" s="88" t="s">
        <v>53</v>
      </c>
      <c r="Z34" s="88" t="s">
        <v>53</v>
      </c>
      <c r="AA34" s="88" t="s">
        <v>53</v>
      </c>
      <c r="AB34" s="88" t="s">
        <v>53</v>
      </c>
      <c r="AC34" s="88" t="s">
        <v>53</v>
      </c>
      <c r="AD34" s="88" t="s">
        <v>53</v>
      </c>
      <c r="AE34" s="88" t="s">
        <v>53</v>
      </c>
    </row>
    <row r="35" spans="1:31" x14ac:dyDescent="0.25">
      <c r="A35" s="194"/>
      <c r="B35" s="88" t="s">
        <v>54</v>
      </c>
      <c r="C35" s="88" t="s">
        <v>54</v>
      </c>
      <c r="D35" s="88" t="s">
        <v>54</v>
      </c>
      <c r="E35" s="88" t="s">
        <v>54</v>
      </c>
      <c r="F35" s="88" t="s">
        <v>54</v>
      </c>
      <c r="G35" s="88" t="s">
        <v>54</v>
      </c>
      <c r="H35" s="88" t="s">
        <v>54</v>
      </c>
      <c r="I35" s="88" t="s">
        <v>54</v>
      </c>
      <c r="J35" s="88" t="s">
        <v>54</v>
      </c>
      <c r="K35" s="88" t="s">
        <v>54</v>
      </c>
      <c r="L35" s="88" t="s">
        <v>54</v>
      </c>
      <c r="M35" s="88" t="s">
        <v>54</v>
      </c>
      <c r="N35" s="88" t="s">
        <v>54</v>
      </c>
      <c r="O35" s="88" t="s">
        <v>54</v>
      </c>
      <c r="P35" s="88" t="s">
        <v>54</v>
      </c>
      <c r="Q35" s="88" t="s">
        <v>54</v>
      </c>
      <c r="R35" s="88" t="s">
        <v>54</v>
      </c>
      <c r="S35" s="88" t="s">
        <v>54</v>
      </c>
      <c r="T35" s="88" t="s">
        <v>54</v>
      </c>
      <c r="U35" s="88" t="s">
        <v>54</v>
      </c>
      <c r="V35" s="88" t="s">
        <v>54</v>
      </c>
      <c r="W35" s="88" t="s">
        <v>54</v>
      </c>
      <c r="X35" s="88" t="s">
        <v>54</v>
      </c>
      <c r="Y35" s="88" t="s">
        <v>54</v>
      </c>
      <c r="Z35" s="88" t="s">
        <v>54</v>
      </c>
      <c r="AA35" s="88" t="s">
        <v>54</v>
      </c>
      <c r="AB35" s="88" t="s">
        <v>54</v>
      </c>
      <c r="AC35" s="88" t="s">
        <v>54</v>
      </c>
      <c r="AD35" s="88" t="s">
        <v>54</v>
      </c>
      <c r="AE35" s="88" t="s">
        <v>54</v>
      </c>
    </row>
    <row r="36" spans="1:31" x14ac:dyDescent="0.25">
      <c r="A36" s="91" t="s">
        <v>26</v>
      </c>
      <c r="B36" s="92"/>
      <c r="C36" s="93"/>
      <c r="D36" s="93"/>
      <c r="E36" s="93"/>
      <c r="F36" s="93"/>
      <c r="G36" s="93"/>
      <c r="H36" s="93"/>
      <c r="I36" s="93"/>
      <c r="J36" s="93"/>
      <c r="K36" s="93"/>
      <c r="L36" s="93"/>
      <c r="M36" s="93"/>
      <c r="N36" s="93"/>
      <c r="O36" s="93"/>
      <c r="P36" s="93"/>
      <c r="Q36" s="93"/>
      <c r="R36" s="93"/>
      <c r="S36" s="93"/>
      <c r="T36" s="93"/>
      <c r="U36" s="93"/>
      <c r="V36" s="93"/>
      <c r="W36" s="93"/>
      <c r="X36" s="93"/>
      <c r="Y36" s="94"/>
      <c r="Z36" s="94"/>
      <c r="AA36" s="94"/>
      <c r="AB36" s="94"/>
      <c r="AC36" s="94"/>
      <c r="AD36" s="94"/>
      <c r="AE36" s="94"/>
    </row>
    <row r="37" spans="1:31" x14ac:dyDescent="0.25">
      <c r="A37" s="95" t="str">
        <f t="shared" ref="A37:A46" si="12">+A6</f>
        <v>Core govt services</v>
      </c>
      <c r="B37" s="101">
        <f t="shared" ref="B37:X37" si="13">+B6/52.1429</f>
        <v>12.522540977933325</v>
      </c>
      <c r="C37" s="101">
        <f t="shared" si="13"/>
        <v>14.386003253361363</v>
      </c>
      <c r="D37" s="101">
        <f t="shared" si="13"/>
        <v>10.542520079784293</v>
      </c>
      <c r="E37" s="101">
        <f t="shared" si="13"/>
        <v>11.88174959804706</v>
      </c>
      <c r="F37" s="101">
        <f t="shared" si="13"/>
        <v>12.352736230519682</v>
      </c>
      <c r="G37" s="101">
        <f t="shared" si="13"/>
        <v>11.284863964524204</v>
      </c>
      <c r="H37" s="101">
        <f t="shared" si="13"/>
        <v>12.298105752661053</v>
      </c>
      <c r="I37" s="101">
        <f t="shared" si="13"/>
        <v>12.021482253858677</v>
      </c>
      <c r="J37" s="101">
        <f t="shared" si="13"/>
        <v>12.172062141576424</v>
      </c>
      <c r="K37" s="101">
        <f t="shared" si="13"/>
        <v>9.971301540620523</v>
      </c>
      <c r="L37" s="101">
        <f t="shared" si="13"/>
        <v>13.324919604097639</v>
      </c>
      <c r="M37" s="101">
        <f t="shared" si="13"/>
        <v>12.589848036241607</v>
      </c>
      <c r="N37" s="101">
        <f t="shared" si="13"/>
        <v>14.859308528294278</v>
      </c>
      <c r="O37" s="101">
        <f t="shared" si="13"/>
        <v>13.787430440675276</v>
      </c>
      <c r="P37" s="101">
        <f t="shared" si="13"/>
        <v>25.725442629335834</v>
      </c>
      <c r="Q37" s="101">
        <f t="shared" si="13"/>
        <v>17.165059831805227</v>
      </c>
      <c r="R37" s="101">
        <f t="shared" si="13"/>
        <v>26.189807176595348</v>
      </c>
      <c r="S37" s="101">
        <f t="shared" si="13"/>
        <v>14.314401458884394</v>
      </c>
      <c r="T37" s="101">
        <f t="shared" si="13"/>
        <v>25.2402813645012</v>
      </c>
      <c r="U37" s="101">
        <f t="shared" si="13"/>
        <v>24.262941189711569</v>
      </c>
      <c r="V37" s="101">
        <f t="shared" si="13"/>
        <v>18.917008182904205</v>
      </c>
      <c r="W37" s="101">
        <f t="shared" si="13"/>
        <v>19.225469780044559</v>
      </c>
      <c r="X37" s="101">
        <f t="shared" si="13"/>
        <v>17.251183510293245</v>
      </c>
      <c r="Y37" s="101">
        <f t="shared" ref="Y37:AD46" si="14">+Y6/52.1429</f>
        <v>16.693373840055941</v>
      </c>
      <c r="Z37" s="101">
        <f t="shared" si="14"/>
        <v>15.494325461612004</v>
      </c>
      <c r="AA37" s="101">
        <f t="shared" si="14"/>
        <v>20.335697069538739</v>
      </c>
      <c r="AB37" s="101">
        <f t="shared" si="14"/>
        <v>17.956672218149798</v>
      </c>
      <c r="AC37" s="101">
        <f t="shared" si="14"/>
        <v>17.800393486515798</v>
      </c>
      <c r="AD37" s="101">
        <f t="shared" si="14"/>
        <v>17.127546409495341</v>
      </c>
      <c r="AE37" s="101">
        <f t="shared" ref="AE37" si="15">+AE6/52.1429</f>
        <v>17.113625226709303</v>
      </c>
    </row>
    <row r="38" spans="1:31" x14ac:dyDescent="0.25">
      <c r="A38" s="95" t="str">
        <f t="shared" si="12"/>
        <v>Defence</v>
      </c>
      <c r="B38" s="101">
        <f t="shared" ref="B38:X38" si="16">+B7/52.1429</f>
        <v>10.033429349122807</v>
      </c>
      <c r="C38" s="101">
        <f t="shared" si="16"/>
        <v>8.7585127178038693</v>
      </c>
      <c r="D38" s="101">
        <f t="shared" si="16"/>
        <v>7.9698304782249911</v>
      </c>
      <c r="E38" s="101">
        <f t="shared" si="16"/>
        <v>7.3644070991090418</v>
      </c>
      <c r="F38" s="101">
        <f t="shared" si="16"/>
        <v>7.0100110822265247</v>
      </c>
      <c r="G38" s="101">
        <f t="shared" si="16"/>
        <v>7.694225430357414</v>
      </c>
      <c r="H38" s="101">
        <f t="shared" si="16"/>
        <v>7.4293542083524251</v>
      </c>
      <c r="I38" s="101">
        <f t="shared" si="16"/>
        <v>8.7665429067612699</v>
      </c>
      <c r="J38" s="101">
        <f t="shared" si="16"/>
        <v>8.4080651723236457</v>
      </c>
      <c r="K38" s="101">
        <f t="shared" si="16"/>
        <v>7.5238002533773045</v>
      </c>
      <c r="L38" s="101">
        <f t="shared" si="16"/>
        <v>7.5007411292549611</v>
      </c>
      <c r="M38" s="101">
        <f t="shared" si="16"/>
        <v>7.8934915234398595</v>
      </c>
      <c r="N38" s="101">
        <f t="shared" si="16"/>
        <v>7.3804512557753021</v>
      </c>
      <c r="O38" s="101">
        <f t="shared" si="16"/>
        <v>7.6059099718603553</v>
      </c>
      <c r="P38" s="101">
        <f t="shared" si="16"/>
        <v>8.1033007617737667</v>
      </c>
      <c r="Q38" s="101">
        <f t="shared" si="16"/>
        <v>7.9536705598575388</v>
      </c>
      <c r="R38" s="101">
        <f t="shared" si="16"/>
        <v>8.6936503323782386</v>
      </c>
      <c r="S38" s="101">
        <f t="shared" si="16"/>
        <v>8.7311110445246438</v>
      </c>
      <c r="T38" s="101">
        <f t="shared" si="16"/>
        <v>8.2077420435704962</v>
      </c>
      <c r="U38" s="101">
        <f t="shared" si="16"/>
        <v>7.759850019406648</v>
      </c>
      <c r="V38" s="101">
        <f t="shared" si="16"/>
        <v>7.9474342715321793</v>
      </c>
      <c r="W38" s="101">
        <f t="shared" si="16"/>
        <v>7.7337462842427147</v>
      </c>
      <c r="X38" s="101">
        <f t="shared" si="16"/>
        <v>8.1832537164211558</v>
      </c>
      <c r="Y38" s="101">
        <f t="shared" si="14"/>
        <v>8.2449476840451794</v>
      </c>
      <c r="Z38" s="101">
        <f t="shared" si="14"/>
        <v>8.4030382715742657</v>
      </c>
      <c r="AA38" s="101">
        <f t="shared" si="14"/>
        <v>8.5965572718374847</v>
      </c>
      <c r="AB38" s="101">
        <f t="shared" si="14"/>
        <v>8.9418684563166746</v>
      </c>
      <c r="AC38" s="101">
        <f t="shared" si="14"/>
        <v>8.9865721919446973</v>
      </c>
      <c r="AD38" s="101">
        <f t="shared" si="14"/>
        <v>9.0249257307312902</v>
      </c>
      <c r="AE38" s="101">
        <f t="shared" ref="AE38" si="17">+AE7/52.1429</f>
        <v>9.0320990890722417</v>
      </c>
    </row>
    <row r="39" spans="1:31" x14ac:dyDescent="0.25">
      <c r="A39" s="95" t="str">
        <f t="shared" si="12"/>
        <v>Education</v>
      </c>
      <c r="B39" s="101">
        <f t="shared" ref="B39:X39" si="18">+B8/52.1429</f>
        <v>38.825009220518695</v>
      </c>
      <c r="C39" s="101">
        <f t="shared" si="18"/>
        <v>38.632639032677318</v>
      </c>
      <c r="D39" s="101">
        <f t="shared" si="18"/>
        <v>37.787853688958172</v>
      </c>
      <c r="E39" s="101">
        <f t="shared" si="18"/>
        <v>37.573660549990365</v>
      </c>
      <c r="F39" s="101">
        <f t="shared" si="18"/>
        <v>39.533202033486802</v>
      </c>
      <c r="G39" s="101">
        <f t="shared" si="18"/>
        <v>41.28150620569226</v>
      </c>
      <c r="H39" s="101">
        <f t="shared" si="18"/>
        <v>42.549282014631999</v>
      </c>
      <c r="I39" s="101">
        <f t="shared" si="18"/>
        <v>44.359972527396643</v>
      </c>
      <c r="J39" s="101">
        <f t="shared" si="18"/>
        <v>41.539362236214082</v>
      </c>
      <c r="K39" s="101">
        <f t="shared" si="18"/>
        <v>41.911840826257567</v>
      </c>
      <c r="L39" s="101">
        <f t="shared" si="18"/>
        <v>43.890908893121626</v>
      </c>
      <c r="M39" s="101">
        <f t="shared" si="18"/>
        <v>45.669056602052891</v>
      </c>
      <c r="N39" s="101">
        <f t="shared" si="18"/>
        <v>45.903512516312283</v>
      </c>
      <c r="O39" s="101">
        <f t="shared" si="18"/>
        <v>54.522770398426289</v>
      </c>
      <c r="P39" s="101">
        <f t="shared" si="18"/>
        <v>49.511862070455535</v>
      </c>
      <c r="Q39" s="101">
        <f t="shared" si="18"/>
        <v>48.633487527016236</v>
      </c>
      <c r="R39" s="101">
        <f t="shared" si="18"/>
        <v>56.679433441885436</v>
      </c>
      <c r="S39" s="101">
        <f t="shared" si="18"/>
        <v>56.429738636167002</v>
      </c>
      <c r="T39" s="101">
        <f t="shared" si="18"/>
        <v>52.858040247427468</v>
      </c>
      <c r="U39" s="101">
        <f t="shared" si="18"/>
        <v>52.092910210924579</v>
      </c>
      <c r="V39" s="101">
        <f t="shared" si="18"/>
        <v>55.085763930841679</v>
      </c>
      <c r="W39" s="101">
        <f t="shared" si="18"/>
        <v>52.526272388837874</v>
      </c>
      <c r="X39" s="101">
        <f t="shared" si="18"/>
        <v>53.744071705144336</v>
      </c>
      <c r="Y39" s="101">
        <f t="shared" si="14"/>
        <v>53.54739468246126</v>
      </c>
      <c r="Z39" s="101">
        <f t="shared" si="14"/>
        <v>52.004077951900193</v>
      </c>
      <c r="AA39" s="101">
        <f t="shared" si="14"/>
        <v>53.313836643488372</v>
      </c>
      <c r="AB39" s="101">
        <f t="shared" si="14"/>
        <v>55.5110610285695</v>
      </c>
      <c r="AC39" s="101">
        <f t="shared" si="14"/>
        <v>56.281537258613234</v>
      </c>
      <c r="AD39" s="101">
        <f t="shared" si="14"/>
        <v>57.360542343088504</v>
      </c>
      <c r="AE39" s="101">
        <f t="shared" ref="AE39" si="19">+AE8/52.1429</f>
        <v>57.51794381401853</v>
      </c>
    </row>
    <row r="40" spans="1:31" x14ac:dyDescent="0.25">
      <c r="A40" s="95" t="str">
        <f t="shared" si="12"/>
        <v>Finance costs</v>
      </c>
      <c r="B40" s="101">
        <f t="shared" ref="B40:X40" si="20">+B9/52.1429</f>
        <v>33.881000555733543</v>
      </c>
      <c r="C40" s="101">
        <f t="shared" si="20"/>
        <v>31.627498736931422</v>
      </c>
      <c r="D40" s="101">
        <f t="shared" si="20"/>
        <v>29.558393984887743</v>
      </c>
      <c r="E40" s="101">
        <f t="shared" si="20"/>
        <v>28.113813905155446</v>
      </c>
      <c r="F40" s="101">
        <f t="shared" si="20"/>
        <v>22.764010617970282</v>
      </c>
      <c r="G40" s="101">
        <f t="shared" si="20"/>
        <v>20.257847987532568</v>
      </c>
      <c r="H40" s="101">
        <f t="shared" si="20"/>
        <v>18.147820571082235</v>
      </c>
      <c r="I40" s="101">
        <f t="shared" si="20"/>
        <v>16.682442917196866</v>
      </c>
      <c r="J40" s="101">
        <f t="shared" si="20"/>
        <v>15.597570174745316</v>
      </c>
      <c r="K40" s="101">
        <f t="shared" si="20"/>
        <v>13.713777053918356</v>
      </c>
      <c r="L40" s="101">
        <f t="shared" si="20"/>
        <v>14.763760688108183</v>
      </c>
      <c r="M40" s="101">
        <f t="shared" si="20"/>
        <v>13.559224188242993</v>
      </c>
      <c r="N40" s="101">
        <f t="shared" si="20"/>
        <v>13.163251886771009</v>
      </c>
      <c r="O40" s="101">
        <f t="shared" si="20"/>
        <v>12.956994861679679</v>
      </c>
      <c r="P40" s="101">
        <f t="shared" si="20"/>
        <v>12.440730042301322</v>
      </c>
      <c r="Q40" s="101">
        <f t="shared" si="20"/>
        <v>12.526267334986903</v>
      </c>
      <c r="R40" s="101">
        <f t="shared" si="20"/>
        <v>12.018711814084657</v>
      </c>
      <c r="S40" s="101">
        <f t="shared" si="20"/>
        <v>11.123262196194297</v>
      </c>
      <c r="T40" s="101">
        <f t="shared" si="20"/>
        <v>13.910965785288635</v>
      </c>
      <c r="U40" s="101">
        <f t="shared" si="20"/>
        <v>15.694028466668628</v>
      </c>
      <c r="V40" s="101">
        <f t="shared" si="20"/>
        <v>15.943328508134679</v>
      </c>
      <c r="W40" s="101">
        <f t="shared" si="20"/>
        <v>15.45895171118643</v>
      </c>
      <c r="X40" s="101">
        <f t="shared" si="20"/>
        <v>15.786460382060801</v>
      </c>
      <c r="Y40" s="101">
        <f t="shared" si="14"/>
        <v>14.609754287128432</v>
      </c>
      <c r="Z40" s="101">
        <f t="shared" si="14"/>
        <v>13.837994991492755</v>
      </c>
      <c r="AA40" s="101">
        <f t="shared" si="14"/>
        <v>13.333203397777078</v>
      </c>
      <c r="AB40" s="101">
        <f t="shared" si="14"/>
        <v>12.617807854345717</v>
      </c>
      <c r="AC40" s="101">
        <f t="shared" si="14"/>
        <v>12.170124443543781</v>
      </c>
      <c r="AD40" s="101">
        <f t="shared" si="14"/>
        <v>11.983133786300295</v>
      </c>
      <c r="AE40" s="101">
        <f t="shared" ref="AE40" si="21">+AE9/52.1429</f>
        <v>10.943181294570842</v>
      </c>
    </row>
    <row r="41" spans="1:31" x14ac:dyDescent="0.25">
      <c r="A41" s="95" t="str">
        <f t="shared" si="12"/>
        <v>Health</v>
      </c>
      <c r="B41" s="101">
        <f t="shared" ref="B41:X41" si="22">+B10/52.1429</f>
        <v>35.651605734990511</v>
      </c>
      <c r="C41" s="101">
        <f t="shared" si="22"/>
        <v>38.423904220527561</v>
      </c>
      <c r="D41" s="101">
        <f t="shared" si="22"/>
        <v>38.440860529720929</v>
      </c>
      <c r="E41" s="101">
        <f t="shared" si="22"/>
        <v>39.691876612517603</v>
      </c>
      <c r="F41" s="101">
        <f t="shared" si="22"/>
        <v>41.689558508040626</v>
      </c>
      <c r="G41" s="101">
        <f t="shared" si="22"/>
        <v>43.354973528239285</v>
      </c>
      <c r="H41" s="101">
        <f t="shared" si="22"/>
        <v>47.410820593689799</v>
      </c>
      <c r="I41" s="101">
        <f t="shared" si="22"/>
        <v>48.324952639195644</v>
      </c>
      <c r="J41" s="101">
        <f t="shared" si="22"/>
        <v>45.086726286373171</v>
      </c>
      <c r="K41" s="101">
        <f t="shared" si="22"/>
        <v>45.531293788080205</v>
      </c>
      <c r="L41" s="101">
        <f t="shared" si="22"/>
        <v>46.924986831143848</v>
      </c>
      <c r="M41" s="101">
        <f t="shared" si="22"/>
        <v>48.836086763249973</v>
      </c>
      <c r="N41" s="101">
        <f t="shared" si="22"/>
        <v>51.014836797762939</v>
      </c>
      <c r="O41" s="101">
        <f t="shared" si="22"/>
        <v>52.504426971331029</v>
      </c>
      <c r="P41" s="101">
        <f t="shared" si="22"/>
        <v>55.312906650077359</v>
      </c>
      <c r="Q41" s="101">
        <f t="shared" si="22"/>
        <v>57.52408214770206</v>
      </c>
      <c r="R41" s="101">
        <f t="shared" si="22"/>
        <v>61.196964889501459</v>
      </c>
      <c r="S41" s="101">
        <f t="shared" si="22"/>
        <v>63.187445310098973</v>
      </c>
      <c r="T41" s="101">
        <f t="shared" si="22"/>
        <v>62.399710516984541</v>
      </c>
      <c r="U41" s="101">
        <f t="shared" si="22"/>
        <v>63.294629190551909</v>
      </c>
      <c r="V41" s="101">
        <f t="shared" si="22"/>
        <v>63.87023396267935</v>
      </c>
      <c r="W41" s="101">
        <f t="shared" si="22"/>
        <v>63.620846020236314</v>
      </c>
      <c r="X41" s="101">
        <f t="shared" si="22"/>
        <v>62.837039501208444</v>
      </c>
      <c r="Y41" s="101">
        <f t="shared" si="14"/>
        <v>63.591092058682129</v>
      </c>
      <c r="Z41" s="101">
        <f t="shared" si="14"/>
        <v>63.523993420200036</v>
      </c>
      <c r="AA41" s="101">
        <f t="shared" si="14"/>
        <v>63.671454654457236</v>
      </c>
      <c r="AB41" s="101">
        <f t="shared" si="14"/>
        <v>65.382854630220905</v>
      </c>
      <c r="AC41" s="101">
        <f t="shared" si="14"/>
        <v>65.610085716787282</v>
      </c>
      <c r="AD41" s="101">
        <f t="shared" si="14"/>
        <v>65.599800807329189</v>
      </c>
      <c r="AE41" s="101">
        <f t="shared" ref="AE41" si="23">+AE10/52.1429</f>
        <v>65.990297855033106</v>
      </c>
    </row>
    <row r="42" spans="1:31" x14ac:dyDescent="0.25">
      <c r="A42" s="95" t="str">
        <f t="shared" si="12"/>
        <v>Law and order</v>
      </c>
      <c r="B42" s="101">
        <f t="shared" ref="B42:X42" si="24">+B11/52.1429</f>
        <v>9.0155452122552777</v>
      </c>
      <c r="C42" s="101">
        <f t="shared" si="24"/>
        <v>9.6018013588888937</v>
      </c>
      <c r="D42" s="101">
        <f t="shared" si="24"/>
        <v>9.3623872350323172</v>
      </c>
      <c r="E42" s="101">
        <f t="shared" si="24"/>
        <v>9.3687405776294419</v>
      </c>
      <c r="F42" s="101">
        <f t="shared" si="24"/>
        <v>9.4924145838606542</v>
      </c>
      <c r="G42" s="101">
        <f t="shared" si="24"/>
        <v>9.7171203791837755</v>
      </c>
      <c r="H42" s="101">
        <f t="shared" si="24"/>
        <v>10.812234910990568</v>
      </c>
      <c r="I42" s="101">
        <f t="shared" si="24"/>
        <v>10.76309317582318</v>
      </c>
      <c r="J42" s="101">
        <f t="shared" si="24"/>
        <v>10.432229010105265</v>
      </c>
      <c r="K42" s="101">
        <f t="shared" si="24"/>
        <v>11.220951668763226</v>
      </c>
      <c r="L42" s="101">
        <f t="shared" si="24"/>
        <v>10.847610607279485</v>
      </c>
      <c r="M42" s="101">
        <f t="shared" si="24"/>
        <v>11.09664750396618</v>
      </c>
      <c r="N42" s="101">
        <f t="shared" si="24"/>
        <v>11.44404088836688</v>
      </c>
      <c r="O42" s="101">
        <f t="shared" si="24"/>
        <v>12.291546483809034</v>
      </c>
      <c r="P42" s="101">
        <f t="shared" si="24"/>
        <v>14.41714486224614</v>
      </c>
      <c r="Q42" s="101">
        <f t="shared" si="24"/>
        <v>14.736186043679716</v>
      </c>
      <c r="R42" s="101">
        <f t="shared" si="24"/>
        <v>15.284397197903461</v>
      </c>
      <c r="S42" s="101">
        <f t="shared" si="24"/>
        <v>15.358861820881007</v>
      </c>
      <c r="T42" s="101">
        <f t="shared" si="24"/>
        <v>15.344711769682378</v>
      </c>
      <c r="U42" s="101">
        <f t="shared" si="24"/>
        <v>15.211272820300012</v>
      </c>
      <c r="V42" s="101">
        <f t="shared" si="24"/>
        <v>15.225239934819964</v>
      </c>
      <c r="W42" s="101">
        <f t="shared" si="24"/>
        <v>14.950770701896049</v>
      </c>
      <c r="X42" s="101">
        <f t="shared" si="24"/>
        <v>14.668096284151128</v>
      </c>
      <c r="Y42" s="101">
        <f t="shared" si="14"/>
        <v>14.845789314608499</v>
      </c>
      <c r="Z42" s="101">
        <f t="shared" si="14"/>
        <v>15.200649846342635</v>
      </c>
      <c r="AA42" s="101">
        <f t="shared" si="14"/>
        <v>15.375122961683731</v>
      </c>
      <c r="AB42" s="101">
        <f t="shared" si="14"/>
        <v>15.783200113759612</v>
      </c>
      <c r="AC42" s="101">
        <f t="shared" si="14"/>
        <v>15.942439957620209</v>
      </c>
      <c r="AD42" s="101">
        <f t="shared" si="14"/>
        <v>16.072019516688389</v>
      </c>
      <c r="AE42" s="101">
        <f t="shared" ref="AE42" si="25">+AE11/52.1429</f>
        <v>16.11668286300899</v>
      </c>
    </row>
    <row r="43" spans="1:31" x14ac:dyDescent="0.25">
      <c r="A43" s="95" t="str">
        <f t="shared" si="12"/>
        <v>Welfare</v>
      </c>
      <c r="B43" s="101">
        <f t="shared" ref="B43:X43" si="26">+B12/52.1429</f>
        <v>59.105287205436767</v>
      </c>
      <c r="C43" s="101">
        <f t="shared" si="26"/>
        <v>54.480486865004849</v>
      </c>
      <c r="D43" s="101">
        <f t="shared" si="26"/>
        <v>53.412418391826492</v>
      </c>
      <c r="E43" s="101">
        <f t="shared" si="26"/>
        <v>54.816307087705532</v>
      </c>
      <c r="F43" s="101">
        <f t="shared" si="26"/>
        <v>55.824322544503758</v>
      </c>
      <c r="G43" s="101">
        <f t="shared" si="26"/>
        <v>53.483897522005563</v>
      </c>
      <c r="H43" s="101">
        <f t="shared" si="26"/>
        <v>56.51358274023422</v>
      </c>
      <c r="I43" s="101">
        <f t="shared" si="26"/>
        <v>55.031674317664176</v>
      </c>
      <c r="J43" s="101">
        <f t="shared" si="26"/>
        <v>53.711424377790507</v>
      </c>
      <c r="K43" s="101">
        <f t="shared" si="26"/>
        <v>52.025589531744082</v>
      </c>
      <c r="L43" s="101">
        <f t="shared" si="26"/>
        <v>51.704441562378861</v>
      </c>
      <c r="M43" s="101">
        <f t="shared" si="26"/>
        <v>50.35337117507823</v>
      </c>
      <c r="N43" s="101">
        <f t="shared" si="26"/>
        <v>49.776078704636731</v>
      </c>
      <c r="O43" s="101">
        <f t="shared" si="26"/>
        <v>50.508081837719089</v>
      </c>
      <c r="P43" s="101">
        <f t="shared" si="26"/>
        <v>53.192266964893321</v>
      </c>
      <c r="Q43" s="101">
        <f t="shared" si="26"/>
        <v>53.613442589462252</v>
      </c>
      <c r="R43" s="101">
        <f t="shared" si="26"/>
        <v>57.58491893467157</v>
      </c>
      <c r="S43" s="101">
        <f t="shared" si="26"/>
        <v>62.065974045835333</v>
      </c>
      <c r="T43" s="101">
        <f t="shared" si="26"/>
        <v>59.777225773378269</v>
      </c>
      <c r="U43" s="101">
        <f t="shared" si="26"/>
        <v>55.624178364917235</v>
      </c>
      <c r="V43" s="101">
        <f t="shared" si="26"/>
        <v>55.094574833581731</v>
      </c>
      <c r="W43" s="101">
        <f t="shared" si="26"/>
        <v>52.816661537003803</v>
      </c>
      <c r="X43" s="101">
        <f t="shared" si="26"/>
        <v>49.792240359172467</v>
      </c>
      <c r="Y43" s="101">
        <f t="shared" si="14"/>
        <v>48.077893356026543</v>
      </c>
      <c r="Z43" s="101">
        <f t="shared" si="14"/>
        <v>47.970932835534157</v>
      </c>
      <c r="AA43" s="101">
        <f t="shared" si="14"/>
        <v>47.408210544159822</v>
      </c>
      <c r="AB43" s="101">
        <f t="shared" si="14"/>
        <v>52.30190758584574</v>
      </c>
      <c r="AC43" s="101">
        <f t="shared" si="14"/>
        <v>51.24708253515422</v>
      </c>
      <c r="AD43" s="101">
        <f t="shared" si="14"/>
        <v>50.675538688644473</v>
      </c>
      <c r="AE43" s="101">
        <f t="shared" ref="AE43" si="27">+AE12/52.1429</f>
        <v>50.165079869119218</v>
      </c>
    </row>
    <row r="44" spans="1:31" x14ac:dyDescent="0.25">
      <c r="A44" s="95" t="str">
        <f t="shared" si="12"/>
        <v>NZ super</v>
      </c>
      <c r="B44" s="101">
        <f t="shared" ref="B44:X44" si="28">+B13/52.1429</f>
        <v>44.145800325050367</v>
      </c>
      <c r="C44" s="101">
        <f t="shared" si="28"/>
        <v>41.362189481678286</v>
      </c>
      <c r="D44" s="101">
        <f t="shared" si="28"/>
        <v>38.82676475398771</v>
      </c>
      <c r="E44" s="101">
        <f t="shared" si="28"/>
        <v>38.111881461876607</v>
      </c>
      <c r="F44" s="101">
        <f t="shared" si="28"/>
        <v>37.691892949892377</v>
      </c>
      <c r="G44" s="101">
        <f t="shared" si="28"/>
        <v>36.888934316812161</v>
      </c>
      <c r="H44" s="101">
        <f t="shared" si="28"/>
        <v>36.576946786946749</v>
      </c>
      <c r="I44" s="101">
        <f t="shared" si="28"/>
        <v>35.628580153541385</v>
      </c>
      <c r="J44" s="101">
        <f t="shared" si="28"/>
        <v>35.697043199406274</v>
      </c>
      <c r="K44" s="101">
        <f t="shared" si="28"/>
        <v>35.288047659988216</v>
      </c>
      <c r="L44" s="101">
        <f t="shared" si="28"/>
        <v>35.295397373858627</v>
      </c>
      <c r="M44" s="101">
        <f t="shared" si="28"/>
        <v>35.457491671653187</v>
      </c>
      <c r="N44" s="101">
        <f t="shared" si="28"/>
        <v>35.21198822657346</v>
      </c>
      <c r="O44" s="101">
        <f t="shared" si="28"/>
        <v>35.274263600515049</v>
      </c>
      <c r="P44" s="101">
        <f t="shared" si="28"/>
        <v>36.376716010335763</v>
      </c>
      <c r="Q44" s="101">
        <f t="shared" si="28"/>
        <v>37.415858690034057</v>
      </c>
      <c r="R44" s="101">
        <f t="shared" si="28"/>
        <v>38.317375170140629</v>
      </c>
      <c r="S44" s="101">
        <f t="shared" si="28"/>
        <v>39.901273737105463</v>
      </c>
      <c r="T44" s="101">
        <f t="shared" si="28"/>
        <v>40.063218487964335</v>
      </c>
      <c r="U44" s="101">
        <f t="shared" si="28"/>
        <v>42.840093655526097</v>
      </c>
      <c r="V44" s="101">
        <f t="shared" si="28"/>
        <v>45.089794772246037</v>
      </c>
      <c r="W44" s="101">
        <f t="shared" si="28"/>
        <v>46.603187851982746</v>
      </c>
      <c r="X44" s="101">
        <f t="shared" si="28"/>
        <v>48.369247234593374</v>
      </c>
      <c r="Y44" s="101">
        <f t="shared" si="14"/>
        <v>49.921408312034671</v>
      </c>
      <c r="Z44" s="101">
        <f t="shared" si="14"/>
        <v>51.072147332778727</v>
      </c>
      <c r="AA44" s="101">
        <f t="shared" si="14"/>
        <v>51.882974792944111</v>
      </c>
      <c r="AB44" s="101">
        <f t="shared" si="14"/>
        <v>52.644703521773053</v>
      </c>
      <c r="AC44" s="101">
        <f t="shared" si="14"/>
        <v>54.130964862737891</v>
      </c>
      <c r="AD44" s="101">
        <f t="shared" si="14"/>
        <v>55.413453900046562</v>
      </c>
      <c r="AE44" s="101">
        <f t="shared" ref="AE44" si="29">+AE13/52.1429</f>
        <v>57.044313388738985</v>
      </c>
    </row>
    <row r="45" spans="1:31" x14ac:dyDescent="0.25">
      <c r="A45" s="95" t="str">
        <f t="shared" si="12"/>
        <v>All other</v>
      </c>
      <c r="B45" s="101">
        <f t="shared" ref="B45:X45" si="30">+B14/52.1429</f>
        <v>25.652390978703579</v>
      </c>
      <c r="C45" s="101">
        <f t="shared" si="30"/>
        <v>10.194608225394211</v>
      </c>
      <c r="D45" s="101">
        <f t="shared" si="30"/>
        <v>13.272560727310523</v>
      </c>
      <c r="E45" s="101">
        <f t="shared" si="30"/>
        <v>14.075887383245528</v>
      </c>
      <c r="F45" s="101">
        <f t="shared" si="30"/>
        <v>17.828844253527503</v>
      </c>
      <c r="G45" s="101">
        <f t="shared" si="30"/>
        <v>23.198270288148034</v>
      </c>
      <c r="H45" s="101">
        <f t="shared" si="30"/>
        <v>26.666332532309628</v>
      </c>
      <c r="I45" s="101">
        <f t="shared" si="30"/>
        <v>22.707244257288618</v>
      </c>
      <c r="J45" s="101">
        <f t="shared" si="30"/>
        <v>25.799626708313539</v>
      </c>
      <c r="K45" s="101">
        <f t="shared" si="30"/>
        <v>28.664254493718865</v>
      </c>
      <c r="L45" s="101">
        <f t="shared" si="30"/>
        <v>25.336114740185653</v>
      </c>
      <c r="M45" s="101">
        <f t="shared" si="30"/>
        <v>26.715043393976096</v>
      </c>
      <c r="N45" s="101">
        <f t="shared" si="30"/>
        <v>31.125244237101025</v>
      </c>
      <c r="O45" s="101">
        <f t="shared" si="30"/>
        <v>31.787534083407703</v>
      </c>
      <c r="P45" s="101">
        <f t="shared" si="30"/>
        <v>33.385385472040895</v>
      </c>
      <c r="Q45" s="101">
        <f t="shared" si="30"/>
        <v>40.659449052792873</v>
      </c>
      <c r="R45" s="101">
        <f t="shared" si="30"/>
        <v>40.717159126431724</v>
      </c>
      <c r="S45" s="101">
        <f t="shared" si="30"/>
        <v>36.994112176525036</v>
      </c>
      <c r="T45" s="101">
        <f t="shared" si="30"/>
        <v>41.841789455946433</v>
      </c>
      <c r="U45" s="101">
        <f t="shared" si="30"/>
        <v>31.987031531609428</v>
      </c>
      <c r="V45" s="101">
        <f t="shared" si="30"/>
        <v>32.556285624513755</v>
      </c>
      <c r="W45" s="101">
        <f t="shared" si="30"/>
        <v>32.258818018315552</v>
      </c>
      <c r="X45" s="101">
        <f t="shared" si="30"/>
        <v>31.339232743662862</v>
      </c>
      <c r="Y45" s="101">
        <f t="shared" si="14"/>
        <v>31.327545543820239</v>
      </c>
      <c r="Z45" s="101">
        <f t="shared" si="14"/>
        <v>31.411543809211906</v>
      </c>
      <c r="AA45" s="101">
        <f t="shared" si="14"/>
        <v>35.987883466473747</v>
      </c>
      <c r="AB45" s="101">
        <f t="shared" si="14"/>
        <v>33.60494201670398</v>
      </c>
      <c r="AC45" s="101">
        <f t="shared" si="14"/>
        <v>32.166922196666697</v>
      </c>
      <c r="AD45" s="101">
        <f t="shared" si="14"/>
        <v>33.493337164958476</v>
      </c>
      <c r="AE45" s="101">
        <f t="shared" ref="AE45" si="31">+AE14/52.1429</f>
        <v>31.733238493729793</v>
      </c>
    </row>
    <row r="46" spans="1:31" x14ac:dyDescent="0.25">
      <c r="A46" s="95" t="str">
        <f t="shared" si="12"/>
        <v>Total core Crown expenses excluding losses</v>
      </c>
      <c r="B46" s="101">
        <f t="shared" ref="B46:X46" si="32">+B15/52.1429</f>
        <v>268.83260955974492</v>
      </c>
      <c r="C46" s="101">
        <f t="shared" si="32"/>
        <v>247.46764389226777</v>
      </c>
      <c r="D46" s="101">
        <f t="shared" si="32"/>
        <v>239.17358986973321</v>
      </c>
      <c r="E46" s="101">
        <f t="shared" si="32"/>
        <v>240.99832427527664</v>
      </c>
      <c r="F46" s="101">
        <f t="shared" si="32"/>
        <v>244.18699280402822</v>
      </c>
      <c r="G46" s="101">
        <f t="shared" si="32"/>
        <v>247.16163962249527</v>
      </c>
      <c r="H46" s="101">
        <f t="shared" si="32"/>
        <v>258.4044801108987</v>
      </c>
      <c r="I46" s="101">
        <f t="shared" si="32"/>
        <v>254.28598514872647</v>
      </c>
      <c r="J46" s="101">
        <f t="shared" si="32"/>
        <v>248.44410930684822</v>
      </c>
      <c r="K46" s="101">
        <f t="shared" si="32"/>
        <v>245.85085681646837</v>
      </c>
      <c r="L46" s="101">
        <f t="shared" si="32"/>
        <v>249.58888142942888</v>
      </c>
      <c r="M46" s="101">
        <f t="shared" si="32"/>
        <v>252.17026085790101</v>
      </c>
      <c r="N46" s="101">
        <f t="shared" si="32"/>
        <v>259.87871304159393</v>
      </c>
      <c r="O46" s="101">
        <f t="shared" si="32"/>
        <v>271.23895864942352</v>
      </c>
      <c r="P46" s="101">
        <f t="shared" si="32"/>
        <v>288.46575546345991</v>
      </c>
      <c r="Q46" s="101">
        <f t="shared" si="32"/>
        <v>290.22750377733684</v>
      </c>
      <c r="R46" s="101">
        <f t="shared" si="32"/>
        <v>316.68241808359249</v>
      </c>
      <c r="S46" s="101">
        <f t="shared" si="32"/>
        <v>308.10618042621616</v>
      </c>
      <c r="T46" s="101">
        <f t="shared" si="32"/>
        <v>319.64368544474371</v>
      </c>
      <c r="U46" s="101">
        <f t="shared" si="32"/>
        <v>308.76693544961614</v>
      </c>
      <c r="V46" s="101">
        <f t="shared" si="32"/>
        <v>309.7296640212536</v>
      </c>
      <c r="W46" s="101">
        <f t="shared" si="32"/>
        <v>305.19472429374611</v>
      </c>
      <c r="X46" s="101">
        <f t="shared" si="32"/>
        <v>301.9708254367078</v>
      </c>
      <c r="Y46" s="101">
        <f t="shared" si="14"/>
        <v>300.8591990788629</v>
      </c>
      <c r="Z46" s="101">
        <f t="shared" si="14"/>
        <v>298.91870392064669</v>
      </c>
      <c r="AA46" s="101">
        <f t="shared" si="14"/>
        <v>309.90494080236027</v>
      </c>
      <c r="AB46" s="101">
        <f t="shared" si="14"/>
        <v>314.74501742568498</v>
      </c>
      <c r="AC46" s="101">
        <f t="shared" si="14"/>
        <v>314.33612264958384</v>
      </c>
      <c r="AD46" s="101">
        <f t="shared" si="14"/>
        <v>316.75029834728252</v>
      </c>
      <c r="AE46" s="101">
        <f t="shared" ref="AE46" si="33">+AE15/52.1429</f>
        <v>315.65646189400104</v>
      </c>
    </row>
    <row r="47" spans="1:31" x14ac:dyDescent="0.25">
      <c r="A47" s="97"/>
      <c r="B47" s="97"/>
      <c r="C47" s="97"/>
      <c r="D47" s="97"/>
      <c r="E47" s="97"/>
      <c r="F47" s="97"/>
      <c r="G47" s="97"/>
      <c r="H47" s="97"/>
      <c r="I47" s="97"/>
      <c r="J47" s="97"/>
      <c r="K47" s="97"/>
      <c r="L47" s="97"/>
      <c r="M47" s="97"/>
      <c r="N47" s="97"/>
      <c r="O47" s="97"/>
      <c r="P47" s="97"/>
      <c r="Q47" s="97"/>
      <c r="R47" s="97"/>
      <c r="S47" s="97"/>
      <c r="T47" s="97"/>
      <c r="U47" s="97"/>
      <c r="V47" s="97"/>
      <c r="W47" s="97"/>
      <c r="X47" s="97"/>
      <c r="Y47" s="97"/>
    </row>
    <row r="49" spans="1:31" x14ac:dyDescent="0.25">
      <c r="A49" s="82" t="s">
        <v>55</v>
      </c>
      <c r="N49" s="99"/>
      <c r="O49" s="99"/>
      <c r="P49" s="99"/>
    </row>
    <row r="50" spans="1:31" x14ac:dyDescent="0.25">
      <c r="A50" s="193" t="s">
        <v>0</v>
      </c>
      <c r="B50" s="84">
        <v>34121</v>
      </c>
      <c r="C50" s="85">
        <v>34486</v>
      </c>
      <c r="D50" s="85">
        <v>34851</v>
      </c>
      <c r="E50" s="85">
        <v>35217</v>
      </c>
      <c r="F50" s="85">
        <v>35582</v>
      </c>
      <c r="G50" s="85">
        <v>35947</v>
      </c>
      <c r="H50" s="85">
        <v>36312</v>
      </c>
      <c r="I50" s="85">
        <v>36678</v>
      </c>
      <c r="J50" s="85">
        <v>37043</v>
      </c>
      <c r="K50" s="85">
        <v>37408</v>
      </c>
      <c r="L50" s="85">
        <v>37773</v>
      </c>
      <c r="M50" s="85">
        <v>38139</v>
      </c>
      <c r="N50" s="85">
        <v>38504</v>
      </c>
      <c r="O50" s="85">
        <v>38869</v>
      </c>
      <c r="P50" s="85">
        <v>39234</v>
      </c>
      <c r="Q50" s="85">
        <v>39600</v>
      </c>
      <c r="R50" s="85">
        <v>39965</v>
      </c>
      <c r="S50" s="85">
        <v>40330</v>
      </c>
      <c r="T50" s="85">
        <v>40695</v>
      </c>
      <c r="U50" s="85">
        <v>41061</v>
      </c>
      <c r="V50" s="85">
        <v>41426</v>
      </c>
      <c r="W50" s="85">
        <v>41791</v>
      </c>
      <c r="X50" s="85">
        <v>42156</v>
      </c>
      <c r="Y50" s="86">
        <v>42522</v>
      </c>
      <c r="Z50" s="128">
        <f t="shared" ref="Z50:AE50" si="34">Z32</f>
        <v>42887</v>
      </c>
      <c r="AA50" s="128">
        <f t="shared" si="34"/>
        <v>43252</v>
      </c>
      <c r="AB50" s="128">
        <f t="shared" si="34"/>
        <v>43617</v>
      </c>
      <c r="AC50" s="128">
        <f t="shared" si="34"/>
        <v>43983</v>
      </c>
      <c r="AD50" s="128">
        <f t="shared" si="34"/>
        <v>44348</v>
      </c>
      <c r="AE50" s="128">
        <f t="shared" si="34"/>
        <v>44713</v>
      </c>
    </row>
    <row r="51" spans="1:31" x14ac:dyDescent="0.25">
      <c r="A51" s="194"/>
      <c r="B51" s="88" t="s">
        <v>56</v>
      </c>
      <c r="C51" s="88" t="s">
        <v>56</v>
      </c>
      <c r="D51" s="88" t="s">
        <v>56</v>
      </c>
      <c r="E51" s="88" t="s">
        <v>56</v>
      </c>
      <c r="F51" s="88" t="s">
        <v>56</v>
      </c>
      <c r="G51" s="88" t="s">
        <v>56</v>
      </c>
      <c r="H51" s="88" t="s">
        <v>56</v>
      </c>
      <c r="I51" s="88" t="s">
        <v>56</v>
      </c>
      <c r="J51" s="88" t="s">
        <v>56</v>
      </c>
      <c r="K51" s="88" t="s">
        <v>56</v>
      </c>
      <c r="L51" s="88" t="s">
        <v>56</v>
      </c>
      <c r="M51" s="88" t="s">
        <v>56</v>
      </c>
      <c r="N51" s="88" t="s">
        <v>56</v>
      </c>
      <c r="O51" s="88" t="s">
        <v>56</v>
      </c>
      <c r="P51" s="88" t="s">
        <v>56</v>
      </c>
      <c r="Q51" s="88" t="s">
        <v>56</v>
      </c>
      <c r="R51" s="88" t="s">
        <v>56</v>
      </c>
      <c r="S51" s="88" t="s">
        <v>56</v>
      </c>
      <c r="T51" s="88" t="s">
        <v>56</v>
      </c>
      <c r="U51" s="88" t="s">
        <v>56</v>
      </c>
      <c r="V51" s="88" t="s">
        <v>56</v>
      </c>
      <c r="W51" s="88" t="s">
        <v>56</v>
      </c>
      <c r="X51" s="88" t="s">
        <v>56</v>
      </c>
      <c r="Y51" s="88" t="s">
        <v>56</v>
      </c>
      <c r="Z51" s="88" t="s">
        <v>56</v>
      </c>
      <c r="AA51" s="88" t="s">
        <v>56</v>
      </c>
      <c r="AB51" s="88" t="s">
        <v>56</v>
      </c>
      <c r="AC51" s="88" t="s">
        <v>56</v>
      </c>
      <c r="AD51" s="88" t="s">
        <v>56</v>
      </c>
      <c r="AE51" s="88" t="s">
        <v>56</v>
      </c>
    </row>
    <row r="52" spans="1:31" ht="30" x14ac:dyDescent="0.25">
      <c r="A52" s="194"/>
      <c r="B52" s="106" t="s">
        <v>57</v>
      </c>
      <c r="C52" s="106" t="s">
        <v>57</v>
      </c>
      <c r="D52" s="106" t="s">
        <v>57</v>
      </c>
      <c r="E52" s="106" t="s">
        <v>57</v>
      </c>
      <c r="F52" s="106" t="s">
        <v>57</v>
      </c>
      <c r="G52" s="106" t="s">
        <v>57</v>
      </c>
      <c r="H52" s="106" t="s">
        <v>57</v>
      </c>
      <c r="I52" s="106" t="s">
        <v>57</v>
      </c>
      <c r="J52" s="106" t="s">
        <v>57</v>
      </c>
      <c r="K52" s="106" t="s">
        <v>57</v>
      </c>
      <c r="L52" s="106" t="s">
        <v>57</v>
      </c>
      <c r="M52" s="106" t="s">
        <v>57</v>
      </c>
      <c r="N52" s="106" t="s">
        <v>57</v>
      </c>
      <c r="O52" s="106" t="s">
        <v>57</v>
      </c>
      <c r="P52" s="106" t="s">
        <v>57</v>
      </c>
      <c r="Q52" s="106" t="s">
        <v>57</v>
      </c>
      <c r="R52" s="106" t="s">
        <v>57</v>
      </c>
      <c r="S52" s="106" t="s">
        <v>57</v>
      </c>
      <c r="T52" s="106" t="s">
        <v>57</v>
      </c>
      <c r="U52" s="106" t="s">
        <v>57</v>
      </c>
      <c r="V52" s="106" t="s">
        <v>57</v>
      </c>
      <c r="W52" s="106" t="s">
        <v>57</v>
      </c>
      <c r="X52" s="106" t="s">
        <v>57</v>
      </c>
      <c r="Y52" s="106" t="s">
        <v>57</v>
      </c>
      <c r="Z52" s="106" t="s">
        <v>57</v>
      </c>
      <c r="AA52" s="106" t="s">
        <v>57</v>
      </c>
      <c r="AB52" s="106" t="s">
        <v>57</v>
      </c>
      <c r="AC52" s="106" t="s">
        <v>57</v>
      </c>
      <c r="AD52" s="106" t="s">
        <v>57</v>
      </c>
      <c r="AE52" s="106" t="s">
        <v>57</v>
      </c>
    </row>
    <row r="53" spans="1:31" x14ac:dyDescent="0.25">
      <c r="A53" s="91" t="s">
        <v>26</v>
      </c>
      <c r="B53" s="92"/>
      <c r="C53" s="93"/>
      <c r="D53" s="93"/>
      <c r="E53" s="93"/>
      <c r="F53" s="93"/>
      <c r="G53" s="93"/>
      <c r="H53" s="93"/>
      <c r="I53" s="93"/>
      <c r="J53" s="93"/>
      <c r="K53" s="93"/>
      <c r="L53" s="93"/>
      <c r="M53" s="93"/>
      <c r="N53" s="93"/>
      <c r="O53" s="93"/>
      <c r="P53" s="93"/>
      <c r="Q53" s="93"/>
      <c r="R53" s="93"/>
      <c r="S53" s="93"/>
      <c r="T53" s="93"/>
      <c r="U53" s="93"/>
      <c r="V53" s="93"/>
      <c r="W53" s="93"/>
      <c r="X53" s="93"/>
      <c r="Y53" s="94"/>
      <c r="Z53" s="94"/>
      <c r="AA53" s="94"/>
      <c r="AB53" s="94"/>
      <c r="AC53" s="94"/>
      <c r="AD53" s="94"/>
      <c r="AE53" s="94"/>
    </row>
    <row r="54" spans="1:31" x14ac:dyDescent="0.25">
      <c r="A54" s="95" t="str">
        <f>+A37</f>
        <v>Core govt services</v>
      </c>
      <c r="B54" s="102">
        <f t="shared" ref="B54:B63" si="35">+B37/B$46</f>
        <v>4.6581182983868388E-2</v>
      </c>
      <c r="C54" s="102">
        <f t="shared" ref="C54:X63" si="36">+C37/C$46</f>
        <v>5.8132865481291547E-2</v>
      </c>
      <c r="D54" s="102">
        <f t="shared" si="36"/>
        <v>4.4078947368421051E-2</v>
      </c>
      <c r="E54" s="102">
        <f t="shared" si="36"/>
        <v>4.930220836089845E-2</v>
      </c>
      <c r="F54" s="102">
        <f t="shared" si="36"/>
        <v>5.0587199951446005E-2</v>
      </c>
      <c r="G54" s="102">
        <f t="shared" si="36"/>
        <v>4.5657829353132028E-2</v>
      </c>
      <c r="H54" s="102">
        <f t="shared" si="36"/>
        <v>4.7592463363572916E-2</v>
      </c>
      <c r="I54" s="102">
        <f t="shared" si="36"/>
        <v>4.7275441652152271E-2</v>
      </c>
      <c r="J54" s="102">
        <f t="shared" si="36"/>
        <v>4.8993160576582477E-2</v>
      </c>
      <c r="K54" s="102">
        <f t="shared" si="36"/>
        <v>4.055833552804846E-2</v>
      </c>
      <c r="L54" s="102">
        <f t="shared" si="36"/>
        <v>5.3387472742311454E-2</v>
      </c>
      <c r="M54" s="102">
        <f t="shared" si="36"/>
        <v>4.9925982522324622E-2</v>
      </c>
      <c r="N54" s="102">
        <f t="shared" si="36"/>
        <v>5.7177859449827374E-2</v>
      </c>
      <c r="O54" s="102">
        <f t="shared" si="36"/>
        <v>5.0831305758313045E-2</v>
      </c>
      <c r="P54" s="102">
        <f t="shared" si="36"/>
        <v>8.9180230727922527E-2</v>
      </c>
      <c r="Q54" s="102">
        <f t="shared" si="36"/>
        <v>5.9143463691071464E-2</v>
      </c>
      <c r="R54" s="102">
        <f t="shared" si="36"/>
        <v>8.2700540608106013E-2</v>
      </c>
      <c r="S54" s="102">
        <f t="shared" si="36"/>
        <v>4.6459312952056603E-2</v>
      </c>
      <c r="T54" s="102">
        <f t="shared" si="36"/>
        <v>7.8963804116394615E-2</v>
      </c>
      <c r="U54" s="102">
        <f t="shared" si="36"/>
        <v>7.8580114656320574E-2</v>
      </c>
      <c r="V54" s="102">
        <f t="shared" si="36"/>
        <v>6.1075868346940523E-2</v>
      </c>
      <c r="W54" s="102">
        <f t="shared" si="36"/>
        <v>6.2994109169266913E-2</v>
      </c>
      <c r="X54" s="102">
        <f t="shared" si="36"/>
        <v>5.7128643091082461E-2</v>
      </c>
      <c r="Y54" s="102">
        <f t="shared" ref="Y54:AD63" si="37">+Y37/Y$46</f>
        <v>5.5485668682113923E-2</v>
      </c>
      <c r="Z54" s="102">
        <f t="shared" si="37"/>
        <v>5.1834579965679396E-2</v>
      </c>
      <c r="AA54" s="102">
        <f t="shared" si="37"/>
        <v>6.5619144428251272E-2</v>
      </c>
      <c r="AB54" s="102">
        <f t="shared" si="37"/>
        <v>5.705149001251332E-2</v>
      </c>
      <c r="AC54" s="102">
        <f t="shared" si="37"/>
        <v>5.6628532974427985E-2</v>
      </c>
      <c r="AD54" s="102">
        <f t="shared" si="37"/>
        <v>5.4072708056984477E-2</v>
      </c>
      <c r="AE54" s="102">
        <f t="shared" ref="AE54" si="38">+AE37/AE$46</f>
        <v>5.4215982540082266E-2</v>
      </c>
    </row>
    <row r="55" spans="1:31" x14ac:dyDescent="0.25">
      <c r="A55" s="95" t="str">
        <f t="shared" ref="A55:A63" si="39">+A38</f>
        <v>Defence</v>
      </c>
      <c r="B55" s="102">
        <f t="shared" si="35"/>
        <v>3.7322218333386351E-2</v>
      </c>
      <c r="C55" s="102">
        <f t="shared" ref="C55:Q55" si="40">+C38/C$46</f>
        <v>3.5392557103815919E-2</v>
      </c>
      <c r="D55" s="102">
        <f t="shared" si="40"/>
        <v>3.3322368421052628E-2</v>
      </c>
      <c r="E55" s="102">
        <f t="shared" si="40"/>
        <v>3.0557918281195851E-2</v>
      </c>
      <c r="F55" s="102">
        <f t="shared" si="40"/>
        <v>2.8707553181804384E-2</v>
      </c>
      <c r="G55" s="102">
        <f t="shared" si="40"/>
        <v>3.1130338195317298E-2</v>
      </c>
      <c r="H55" s="102">
        <f t="shared" si="40"/>
        <v>2.8750872295882759E-2</v>
      </c>
      <c r="I55" s="102">
        <f t="shared" si="40"/>
        <v>3.4475132011832679E-2</v>
      </c>
      <c r="J55" s="102">
        <f t="shared" si="40"/>
        <v>3.3842884002288888E-2</v>
      </c>
      <c r="K55" s="102">
        <f t="shared" si="40"/>
        <v>3.0603107716618384E-2</v>
      </c>
      <c r="L55" s="102">
        <f t="shared" si="40"/>
        <v>3.0052384891094564E-2</v>
      </c>
      <c r="M55" s="102">
        <f t="shared" si="40"/>
        <v>3.1302230074972535E-2</v>
      </c>
      <c r="N55" s="102">
        <f t="shared" si="40"/>
        <v>2.8399599064483791E-2</v>
      </c>
      <c r="O55" s="102">
        <f t="shared" si="40"/>
        <v>2.8041362530413626E-2</v>
      </c>
      <c r="P55" s="102">
        <f t="shared" si="40"/>
        <v>2.8091031979704834E-2</v>
      </c>
      <c r="Q55" s="102">
        <f t="shared" si="40"/>
        <v>2.7404951137779181E-2</v>
      </c>
      <c r="R55" s="102">
        <f t="shared" si="36"/>
        <v>2.7452267116652607E-2</v>
      </c>
      <c r="S55" s="102">
        <f t="shared" si="36"/>
        <v>2.8337993845000232E-2</v>
      </c>
      <c r="T55" s="102">
        <f t="shared" si="36"/>
        <v>2.5677785663591204E-2</v>
      </c>
      <c r="U55" s="102">
        <f t="shared" si="36"/>
        <v>2.513173895419538E-2</v>
      </c>
      <c r="V55" s="102">
        <f t="shared" si="36"/>
        <v>2.5659260945011801E-2</v>
      </c>
      <c r="W55" s="102">
        <f t="shared" si="36"/>
        <v>2.5340366882617146E-2</v>
      </c>
      <c r="X55" s="102">
        <f t="shared" si="36"/>
        <v>2.7099484543205786E-2</v>
      </c>
      <c r="Y55" s="102">
        <f t="shared" si="37"/>
        <v>2.740467205021033E-2</v>
      </c>
      <c r="Z55" s="102">
        <f t="shared" si="37"/>
        <v>2.8111450241685119E-2</v>
      </c>
      <c r="AA55" s="102">
        <f t="shared" si="37"/>
        <v>2.7739335970509354E-2</v>
      </c>
      <c r="AB55" s="102">
        <f t="shared" si="37"/>
        <v>2.8409880891690224E-2</v>
      </c>
      <c r="AC55" s="102">
        <f t="shared" si="37"/>
        <v>2.8589053387169133E-2</v>
      </c>
      <c r="AD55" s="102">
        <f t="shared" si="37"/>
        <v>2.849224066345293E-2</v>
      </c>
      <c r="AE55" s="102">
        <f t="shared" ref="AE55" si="41">+AE38/AE$46</f>
        <v>2.8613699320070515E-2</v>
      </c>
    </row>
    <row r="56" spans="1:31" x14ac:dyDescent="0.25">
      <c r="A56" s="95" t="str">
        <f t="shared" si="39"/>
        <v>Education</v>
      </c>
      <c r="B56" s="102">
        <f t="shared" si="35"/>
        <v>0.14442075789875591</v>
      </c>
      <c r="C56" s="102">
        <f t="shared" si="36"/>
        <v>0.1561118796180708</v>
      </c>
      <c r="D56" s="102">
        <f t="shared" si="36"/>
        <v>0.15799342105263156</v>
      </c>
      <c r="E56" s="102">
        <f t="shared" si="36"/>
        <v>0.15590838925117348</v>
      </c>
      <c r="F56" s="102">
        <f t="shared" si="36"/>
        <v>0.16189724759505963</v>
      </c>
      <c r="G56" s="102">
        <f t="shared" si="36"/>
        <v>0.1670223027681155</v>
      </c>
      <c r="H56" s="102">
        <f t="shared" si="36"/>
        <v>0.16466154919748777</v>
      </c>
      <c r="I56" s="102">
        <f t="shared" si="36"/>
        <v>0.17444914434215256</v>
      </c>
      <c r="J56" s="102">
        <f t="shared" si="36"/>
        <v>0.16719801629472192</v>
      </c>
      <c r="K56" s="102">
        <f t="shared" si="36"/>
        <v>0.17047669212536215</v>
      </c>
      <c r="L56" s="102">
        <f t="shared" si="36"/>
        <v>0.1758528210141114</v>
      </c>
      <c r="M56" s="102">
        <f t="shared" si="36"/>
        <v>0.18110405424764814</v>
      </c>
      <c r="N56" s="102">
        <f t="shared" si="36"/>
        <v>0.17663436908341687</v>
      </c>
      <c r="O56" s="102">
        <f t="shared" si="36"/>
        <v>0.20101378751013785</v>
      </c>
      <c r="P56" s="102">
        <f t="shared" si="36"/>
        <v>0.17163861266966651</v>
      </c>
      <c r="Q56" s="102">
        <f t="shared" si="36"/>
        <v>0.16757022299419269</v>
      </c>
      <c r="R56" s="102">
        <f t="shared" si="36"/>
        <v>0.17897878191306521</v>
      </c>
      <c r="S56" s="102">
        <f t="shared" si="36"/>
        <v>0.18315029759580087</v>
      </c>
      <c r="T56" s="102">
        <f t="shared" si="36"/>
        <v>0.16536550745209372</v>
      </c>
      <c r="U56" s="102">
        <f t="shared" si="36"/>
        <v>0.16871272221900513</v>
      </c>
      <c r="V56" s="102">
        <f t="shared" si="36"/>
        <v>0.17785110801354082</v>
      </c>
      <c r="W56" s="102">
        <f t="shared" si="36"/>
        <v>0.17210740621545606</v>
      </c>
      <c r="X56" s="102">
        <f t="shared" si="36"/>
        <v>0.17797769578375688</v>
      </c>
      <c r="Y56" s="102">
        <f t="shared" si="37"/>
        <v>0.1779815769183947</v>
      </c>
      <c r="Z56" s="102">
        <f t="shared" si="37"/>
        <v>0.17397398446403542</v>
      </c>
      <c r="AA56" s="102">
        <f t="shared" si="37"/>
        <v>0.17203287080695143</v>
      </c>
      <c r="AB56" s="102">
        <f t="shared" si="37"/>
        <v>0.1763683551930296</v>
      </c>
      <c r="AC56" s="102">
        <f t="shared" si="37"/>
        <v>0.17904890085240016</v>
      </c>
      <c r="AD56" s="102">
        <f t="shared" si="37"/>
        <v>0.18109072869822165</v>
      </c>
      <c r="AE56" s="102">
        <f t="shared" ref="AE56" si="42">+AE39/AE$46</f>
        <v>0.18221690590111642</v>
      </c>
    </row>
    <row r="57" spans="1:31" x14ac:dyDescent="0.25">
      <c r="A57" s="95" t="str">
        <f t="shared" si="39"/>
        <v>Finance costs</v>
      </c>
      <c r="B57" s="102">
        <f t="shared" si="35"/>
        <v>0.12603009958955103</v>
      </c>
      <c r="C57" s="102">
        <f t="shared" si="36"/>
        <v>0.12780458180100546</v>
      </c>
      <c r="D57" s="102">
        <f t="shared" si="36"/>
        <v>0.12358552631578944</v>
      </c>
      <c r="E57" s="102">
        <f t="shared" si="36"/>
        <v>0.1166556406136786</v>
      </c>
      <c r="F57" s="102">
        <f t="shared" si="36"/>
        <v>9.322368221406245E-2</v>
      </c>
      <c r="G57" s="102">
        <f t="shared" si="36"/>
        <v>8.1961942065417542E-2</v>
      </c>
      <c r="H57" s="102">
        <f t="shared" si="36"/>
        <v>7.0230286113049545E-2</v>
      </c>
      <c r="I57" s="102">
        <f t="shared" si="36"/>
        <v>6.5605042713776221E-2</v>
      </c>
      <c r="J57" s="102">
        <f t="shared" si="36"/>
        <v>6.2781002207144609E-2</v>
      </c>
      <c r="K57" s="102">
        <f t="shared" si="36"/>
        <v>5.5780879641822489E-2</v>
      </c>
      <c r="L57" s="102">
        <f t="shared" si="36"/>
        <v>5.9152317216833346E-2</v>
      </c>
      <c r="M57" s="102">
        <f t="shared" si="36"/>
        <v>5.3770116040303705E-2</v>
      </c>
      <c r="N57" s="102">
        <f t="shared" si="36"/>
        <v>5.0651520213832263E-2</v>
      </c>
      <c r="O57" s="102">
        <f t="shared" si="36"/>
        <v>4.7769667477696669E-2</v>
      </c>
      <c r="P57" s="102">
        <f t="shared" si="36"/>
        <v>4.3127233672203405E-2</v>
      </c>
      <c r="Q57" s="102">
        <f t="shared" si="36"/>
        <v>4.3160166324543392E-2</v>
      </c>
      <c r="R57" s="102">
        <f t="shared" si="36"/>
        <v>3.7951939001906194E-2</v>
      </c>
      <c r="S57" s="102">
        <f t="shared" si="36"/>
        <v>3.6102041772764909E-2</v>
      </c>
      <c r="T57" s="102">
        <f t="shared" si="36"/>
        <v>4.352022711142655E-2</v>
      </c>
      <c r="U57" s="102">
        <f t="shared" si="36"/>
        <v>5.0828073426370947E-2</v>
      </c>
      <c r="V57" s="102">
        <f t="shared" si="36"/>
        <v>5.1474980798224899E-2</v>
      </c>
      <c r="W57" s="102">
        <f t="shared" si="36"/>
        <v>5.0652748821134214E-2</v>
      </c>
      <c r="X57" s="102">
        <f t="shared" si="36"/>
        <v>5.2278097922971688E-2</v>
      </c>
      <c r="Y57" s="102">
        <f t="shared" si="37"/>
        <v>4.8560104965575078E-2</v>
      </c>
      <c r="Z57" s="102">
        <f t="shared" si="37"/>
        <v>4.6293506595580243E-2</v>
      </c>
      <c r="AA57" s="102">
        <f t="shared" si="37"/>
        <v>4.3023526386048283E-2</v>
      </c>
      <c r="AB57" s="102">
        <f t="shared" si="37"/>
        <v>4.008898363998703E-2</v>
      </c>
      <c r="AC57" s="102">
        <f t="shared" si="37"/>
        <v>3.8716913414087034E-2</v>
      </c>
      <c r="AD57" s="102">
        <f t="shared" si="37"/>
        <v>3.7831483818089671E-2</v>
      </c>
      <c r="AE57" s="102">
        <f t="shared" ref="AE57" si="43">+AE40/AE$46</f>
        <v>3.4668009737261814E-2</v>
      </c>
    </row>
    <row r="58" spans="1:31" x14ac:dyDescent="0.25">
      <c r="A58" s="95" t="str">
        <f t="shared" si="39"/>
        <v>Health</v>
      </c>
      <c r="B58" s="102">
        <f t="shared" si="35"/>
        <v>0.13261637341308982</v>
      </c>
      <c r="C58" s="102">
        <f t="shared" si="36"/>
        <v>0.15526839636964812</v>
      </c>
      <c r="D58" s="102">
        <f t="shared" si="36"/>
        <v>0.1607236842105263</v>
      </c>
      <c r="E58" s="102">
        <f t="shared" si="36"/>
        <v>0.16469772863308446</v>
      </c>
      <c r="F58" s="102">
        <f t="shared" si="36"/>
        <v>0.17072800655479015</v>
      </c>
      <c r="G58" s="102">
        <f t="shared" si="36"/>
        <v>0.17541141738037475</v>
      </c>
      <c r="H58" s="102">
        <f t="shared" si="36"/>
        <v>0.18347522679692951</v>
      </c>
      <c r="I58" s="102">
        <f t="shared" si="36"/>
        <v>0.19004174615023084</v>
      </c>
      <c r="J58" s="102">
        <f t="shared" si="36"/>
        <v>0.18147633450502737</v>
      </c>
      <c r="K58" s="102">
        <f t="shared" si="36"/>
        <v>0.18519884119041347</v>
      </c>
      <c r="L58" s="102">
        <f t="shared" si="36"/>
        <v>0.18800912349299448</v>
      </c>
      <c r="M58" s="102">
        <f t="shared" si="36"/>
        <v>0.19366314884675997</v>
      </c>
      <c r="N58" s="102">
        <f t="shared" si="36"/>
        <v>0.19630248357278093</v>
      </c>
      <c r="O58" s="102">
        <f t="shared" si="36"/>
        <v>0.19357258718572587</v>
      </c>
      <c r="P58" s="102">
        <f t="shared" si="36"/>
        <v>0.19174860655889489</v>
      </c>
      <c r="Q58" s="102">
        <f t="shared" si="36"/>
        <v>0.19820341421478324</v>
      </c>
      <c r="R58" s="102">
        <f t="shared" si="36"/>
        <v>0.19324396112621484</v>
      </c>
      <c r="S58" s="102">
        <f t="shared" si="36"/>
        <v>0.20508334244606563</v>
      </c>
      <c r="T58" s="102">
        <f t="shared" si="36"/>
        <v>0.19521646557842445</v>
      </c>
      <c r="U58" s="102">
        <f t="shared" si="36"/>
        <v>0.20499160345127102</v>
      </c>
      <c r="V58" s="102">
        <f t="shared" si="36"/>
        <v>0.20621284100930218</v>
      </c>
      <c r="W58" s="102">
        <f t="shared" si="36"/>
        <v>0.20845984860145239</v>
      </c>
      <c r="X58" s="102">
        <f t="shared" si="36"/>
        <v>0.20808976963365258</v>
      </c>
      <c r="Y58" s="102">
        <f t="shared" si="37"/>
        <v>0.21136495827077328</v>
      </c>
      <c r="Z58" s="102">
        <f t="shared" si="37"/>
        <v>0.21251260823432319</v>
      </c>
      <c r="AA58" s="102">
        <f t="shared" si="37"/>
        <v>0.20545479039349446</v>
      </c>
      <c r="AB58" s="102">
        <f t="shared" si="37"/>
        <v>0.20773277100616397</v>
      </c>
      <c r="AC58" s="102">
        <f t="shared" si="37"/>
        <v>0.2087258860475549</v>
      </c>
      <c r="AD58" s="102">
        <f t="shared" si="37"/>
        <v>0.20710256990951934</v>
      </c>
      <c r="AE58" s="102">
        <f t="shared" ref="AE58" si="44">+AE41/AE$46</f>
        <v>0.20905733232603033</v>
      </c>
    </row>
    <row r="59" spans="1:31" x14ac:dyDescent="0.25">
      <c r="A59" s="95" t="str">
        <f t="shared" si="39"/>
        <v>Law and order</v>
      </c>
      <c r="B59" s="102">
        <f t="shared" si="35"/>
        <v>3.3535906328550059E-2</v>
      </c>
      <c r="C59" s="102">
        <f t="shared" si="36"/>
        <v>3.8800229427443565E-2</v>
      </c>
      <c r="D59" s="102">
        <f t="shared" si="36"/>
        <v>3.9144736842105253E-2</v>
      </c>
      <c r="E59" s="102">
        <f t="shared" si="36"/>
        <v>3.8874712535047096E-2</v>
      </c>
      <c r="F59" s="102">
        <f t="shared" si="36"/>
        <v>3.8873547173246745E-2</v>
      </c>
      <c r="G59" s="102">
        <f t="shared" si="36"/>
        <v>3.9314840256057991E-2</v>
      </c>
      <c r="H59" s="102">
        <f t="shared" si="36"/>
        <v>4.1842288904396369E-2</v>
      </c>
      <c r="I59" s="102">
        <f t="shared" si="36"/>
        <v>4.2326725830084878E-2</v>
      </c>
      <c r="J59" s="102">
        <f t="shared" si="36"/>
        <v>4.1990244965802885E-2</v>
      </c>
      <c r="K59" s="102">
        <f t="shared" si="36"/>
        <v>4.564129575981038E-2</v>
      </c>
      <c r="L59" s="102">
        <f t="shared" si="36"/>
        <v>4.3461914429656356E-2</v>
      </c>
      <c r="M59" s="102">
        <f t="shared" si="36"/>
        <v>4.4004584308294729E-2</v>
      </c>
      <c r="N59" s="102">
        <f t="shared" si="36"/>
        <v>4.4036084196458394E-2</v>
      </c>
      <c r="O59" s="102">
        <f t="shared" si="36"/>
        <v>4.5316301703163017E-2</v>
      </c>
      <c r="P59" s="102">
        <f t="shared" si="36"/>
        <v>4.9978704886765549E-2</v>
      </c>
      <c r="Q59" s="102">
        <f t="shared" si="36"/>
        <v>5.0774602172044138E-2</v>
      </c>
      <c r="R59" s="102">
        <f t="shared" si="36"/>
        <v>4.8264116746351678E-2</v>
      </c>
      <c r="S59" s="102">
        <f t="shared" si="36"/>
        <v>4.9849249371221475E-2</v>
      </c>
      <c r="T59" s="102">
        <f t="shared" si="36"/>
        <v>4.8005677785663607E-2</v>
      </c>
      <c r="U59" s="102">
        <f t="shared" si="36"/>
        <v>4.9264578145810409E-2</v>
      </c>
      <c r="V59" s="102">
        <f t="shared" si="36"/>
        <v>4.9156544249423943E-2</v>
      </c>
      <c r="W59" s="102">
        <f t="shared" si="36"/>
        <v>4.8987644647179807E-2</v>
      </c>
      <c r="X59" s="102">
        <f t="shared" si="36"/>
        <v>4.8574547766123577E-2</v>
      </c>
      <c r="Y59" s="102">
        <f t="shared" si="37"/>
        <v>4.9344641480339235E-2</v>
      </c>
      <c r="Z59" s="102">
        <f t="shared" si="37"/>
        <v>5.0852120148285933E-2</v>
      </c>
      <c r="AA59" s="102">
        <f t="shared" si="37"/>
        <v>4.9612384113259779E-2</v>
      </c>
      <c r="AB59" s="102">
        <f t="shared" si="37"/>
        <v>5.0145988784353709E-2</v>
      </c>
      <c r="AC59" s="102">
        <f t="shared" si="37"/>
        <v>5.0717810677433819E-2</v>
      </c>
      <c r="AD59" s="102">
        <f t="shared" si="37"/>
        <v>5.0740345314741121E-2</v>
      </c>
      <c r="AE59" s="102">
        <f t="shared" ref="AE59" si="45">+AE42/AE$46</f>
        <v>5.1057668093679162E-2</v>
      </c>
    </row>
    <row r="60" spans="1:31" x14ac:dyDescent="0.25">
      <c r="A60" s="95" t="str">
        <f t="shared" si="39"/>
        <v>Welfare</v>
      </c>
      <c r="B60" s="102">
        <f t="shared" si="35"/>
        <v>0.21985906881695208</v>
      </c>
      <c r="C60" s="102">
        <f t="shared" si="36"/>
        <v>0.2201519601032057</v>
      </c>
      <c r="D60" s="102">
        <f t="shared" si="36"/>
        <v>0.22332072040611911</v>
      </c>
      <c r="E60" s="102">
        <f t="shared" si="36"/>
        <v>0.22745513792491123</v>
      </c>
      <c r="F60" s="102">
        <f t="shared" si="36"/>
        <v>0.22861300638279883</v>
      </c>
      <c r="G60" s="102">
        <f t="shared" si="36"/>
        <v>0.2163923884130835</v>
      </c>
      <c r="H60" s="102">
        <f t="shared" si="36"/>
        <v>0.21870202372644798</v>
      </c>
      <c r="I60" s="102">
        <f t="shared" si="36"/>
        <v>0.21641646622985267</v>
      </c>
      <c r="J60" s="102">
        <f t="shared" si="36"/>
        <v>0.2161911768713044</v>
      </c>
      <c r="K60" s="102">
        <f t="shared" si="36"/>
        <v>0.21161443244666836</v>
      </c>
      <c r="L60" s="102">
        <f t="shared" si="36"/>
        <v>0.20715843296488454</v>
      </c>
      <c r="M60" s="102">
        <f t="shared" si="36"/>
        <v>0.1996800534835968</v>
      </c>
      <c r="N60" s="102">
        <f t="shared" si="36"/>
        <v>0.19153580576901658</v>
      </c>
      <c r="O60" s="102">
        <f t="shared" si="36"/>
        <v>0.18621248986212488</v>
      </c>
      <c r="P60" s="102">
        <f t="shared" si="36"/>
        <v>0.18439716312056739</v>
      </c>
      <c r="Q60" s="102">
        <f t="shared" si="36"/>
        <v>0.18472902082565751</v>
      </c>
      <c r="R60" s="102">
        <f t="shared" si="36"/>
        <v>0.18183806756038876</v>
      </c>
      <c r="S60" s="102">
        <f t="shared" si="36"/>
        <v>0.20144345679783793</v>
      </c>
      <c r="T60" s="102">
        <f t="shared" si="36"/>
        <v>0.18701206529453515</v>
      </c>
      <c r="U60" s="102">
        <f t="shared" si="36"/>
        <v>0.18014940066014243</v>
      </c>
      <c r="V60" s="102">
        <f t="shared" si="36"/>
        <v>0.17787955508775921</v>
      </c>
      <c r="W60" s="102">
        <f t="shared" si="36"/>
        <v>0.17305889431485855</v>
      </c>
      <c r="X60" s="102">
        <f t="shared" si="36"/>
        <v>0.16489089728176001</v>
      </c>
      <c r="Y60" s="102">
        <f t="shared" si="37"/>
        <v>0.15980197216248021</v>
      </c>
      <c r="Z60" s="102">
        <f t="shared" si="37"/>
        <v>0.1604815363051651</v>
      </c>
      <c r="AA60" s="102">
        <f t="shared" si="37"/>
        <v>0.15297662057732109</v>
      </c>
      <c r="AB60" s="102">
        <f t="shared" si="37"/>
        <v>0.16617231311118322</v>
      </c>
      <c r="AC60" s="102">
        <f t="shared" si="37"/>
        <v>0.1630327501121579</v>
      </c>
      <c r="AD60" s="102">
        <f t="shared" si="37"/>
        <v>0.15998576466401371</v>
      </c>
      <c r="AE60" s="102">
        <f t="shared" ref="AE60" si="46">+AE43/AE$46</f>
        <v>0.1589230252665155</v>
      </c>
    </row>
    <row r="61" spans="1:31" x14ac:dyDescent="0.25">
      <c r="A61" s="95" t="str">
        <f t="shared" si="39"/>
        <v>NZ super</v>
      </c>
      <c r="B61" s="102">
        <f t="shared" si="35"/>
        <v>0.16421296656438353</v>
      </c>
      <c r="C61" s="102">
        <f t="shared" si="36"/>
        <v>0.16714180824255492</v>
      </c>
      <c r="D61" s="102">
        <f t="shared" si="36"/>
        <v>0.16233717433072295</v>
      </c>
      <c r="E61" s="102">
        <f t="shared" si="36"/>
        <v>0.15814168657182817</v>
      </c>
      <c r="F61" s="102">
        <f t="shared" si="36"/>
        <v>0.15435667771273112</v>
      </c>
      <c r="G61" s="102">
        <f t="shared" si="36"/>
        <v>0.14925024115050714</v>
      </c>
      <c r="H61" s="102">
        <f t="shared" si="36"/>
        <v>0.14154919748778785</v>
      </c>
      <c r="I61" s="102">
        <f t="shared" si="36"/>
        <v>0.14011224461585245</v>
      </c>
      <c r="J61" s="102">
        <f t="shared" si="36"/>
        <v>0.14368238916591736</v>
      </c>
      <c r="K61" s="102">
        <f t="shared" si="36"/>
        <v>0.14353436923887278</v>
      </c>
      <c r="L61" s="102">
        <f t="shared" si="36"/>
        <v>0.14141414141414141</v>
      </c>
      <c r="M61" s="102">
        <f t="shared" si="36"/>
        <v>0.14060933097750822</v>
      </c>
      <c r="N61" s="102">
        <f t="shared" si="36"/>
        <v>0.13549393028176854</v>
      </c>
      <c r="O61" s="102">
        <f t="shared" si="36"/>
        <v>0.1300486618004866</v>
      </c>
      <c r="P61" s="102">
        <f t="shared" si="36"/>
        <v>0.12610410532748181</v>
      </c>
      <c r="Q61" s="102">
        <f t="shared" si="36"/>
        <v>0.12891906591574995</v>
      </c>
      <c r="R61" s="102">
        <f t="shared" si="36"/>
        <v>0.12099621886816038</v>
      </c>
      <c r="S61" s="102">
        <f t="shared" si="36"/>
        <v>0.1295049443081874</v>
      </c>
      <c r="T61" s="102">
        <f t="shared" si="36"/>
        <v>0.12533711852377574</v>
      </c>
      <c r="U61" s="102">
        <f t="shared" si="36"/>
        <v>0.13874572934159474</v>
      </c>
      <c r="V61" s="102">
        <f t="shared" si="36"/>
        <v>0.14557790231274712</v>
      </c>
      <c r="W61" s="102">
        <f t="shared" si="36"/>
        <v>0.15269984748205465</v>
      </c>
      <c r="X61" s="102">
        <f t="shared" si="36"/>
        <v>0.16017854428368089</v>
      </c>
      <c r="Y61" s="102">
        <f t="shared" si="37"/>
        <v>0.16592947287262103</v>
      </c>
      <c r="Z61" s="102">
        <f t="shared" si="37"/>
        <v>0.17085631197684018</v>
      </c>
      <c r="AA61" s="102">
        <f t="shared" si="37"/>
        <v>0.16741577161892401</v>
      </c>
      <c r="AB61" s="102">
        <f t="shared" si="37"/>
        <v>0.16726143578810773</v>
      </c>
      <c r="AC61" s="102">
        <f t="shared" si="37"/>
        <v>0.17220726783310902</v>
      </c>
      <c r="AD61" s="102">
        <f t="shared" si="37"/>
        <v>0.17494365179505431</v>
      </c>
      <c r="AE61" s="102">
        <f t="shared" ref="AE61" si="47">+AE44/AE$46</f>
        <v>0.18071644422059935</v>
      </c>
    </row>
    <row r="62" spans="1:31" x14ac:dyDescent="0.25">
      <c r="A62" s="95" t="str">
        <f t="shared" si="39"/>
        <v>All other</v>
      </c>
      <c r="B62" s="102">
        <f t="shared" si="35"/>
        <v>9.5421426071462631E-2</v>
      </c>
      <c r="C62" s="102">
        <f t="shared" si="36"/>
        <v>4.119572185296401E-2</v>
      </c>
      <c r="D62" s="102">
        <f t="shared" si="36"/>
        <v>5.5493421052631581E-2</v>
      </c>
      <c r="E62" s="102">
        <f t="shared" si="36"/>
        <v>5.8406577828182579E-2</v>
      </c>
      <c r="F62" s="102">
        <f t="shared" si="36"/>
        <v>7.3013079234060627E-2</v>
      </c>
      <c r="G62" s="102">
        <f t="shared" si="36"/>
        <v>9.3858700417994226E-2</v>
      </c>
      <c r="H62" s="102">
        <f t="shared" si="36"/>
        <v>0.10319609211444521</v>
      </c>
      <c r="I62" s="102">
        <f t="shared" si="36"/>
        <v>8.9298056454065425E-2</v>
      </c>
      <c r="J62" s="102">
        <f t="shared" si="36"/>
        <v>0.10384479141121011</v>
      </c>
      <c r="K62" s="102">
        <f t="shared" si="36"/>
        <v>0.11659204635238345</v>
      </c>
      <c r="L62" s="102">
        <f t="shared" si="36"/>
        <v>0.10151139183397248</v>
      </c>
      <c r="M62" s="102">
        <f t="shared" si="36"/>
        <v>0.10594049949859129</v>
      </c>
      <c r="N62" s="102">
        <f t="shared" si="36"/>
        <v>0.11976834836841518</v>
      </c>
      <c r="O62" s="102">
        <f t="shared" si="36"/>
        <v>0.11719383617193836</v>
      </c>
      <c r="P62" s="102">
        <f t="shared" si="36"/>
        <v>0.11573431105679315</v>
      </c>
      <c r="Q62" s="102">
        <f t="shared" si="36"/>
        <v>0.1400950927241785</v>
      </c>
      <c r="R62" s="102">
        <f t="shared" si="36"/>
        <v>0.12857410705915442</v>
      </c>
      <c r="S62" s="102">
        <f t="shared" si="36"/>
        <v>0.12006936091106493</v>
      </c>
      <c r="T62" s="102">
        <f t="shared" si="36"/>
        <v>0.1309013484740951</v>
      </c>
      <c r="U62" s="102">
        <f t="shared" si="36"/>
        <v>0.10359603914528924</v>
      </c>
      <c r="V62" s="102">
        <f t="shared" si="36"/>
        <v>0.10511193923704946</v>
      </c>
      <c r="W62" s="102">
        <f t="shared" si="36"/>
        <v>0.10569913386598008</v>
      </c>
      <c r="X62" s="102">
        <f t="shared" si="36"/>
        <v>0.10378231969376615</v>
      </c>
      <c r="Y62" s="102">
        <f t="shared" si="37"/>
        <v>0.10412693259749219</v>
      </c>
      <c r="Z62" s="102">
        <f t="shared" si="37"/>
        <v>0.1050839020684054</v>
      </c>
      <c r="AA62" s="102">
        <f t="shared" si="37"/>
        <v>0.1161255557052405</v>
      </c>
      <c r="AB62" s="102">
        <f t="shared" si="37"/>
        <v>0.10676878157297122</v>
      </c>
      <c r="AC62" s="102">
        <f t="shared" si="37"/>
        <v>0.10233288470165992</v>
      </c>
      <c r="AD62" s="102">
        <f t="shared" si="37"/>
        <v>0.10574050707992276</v>
      </c>
      <c r="AE62" s="102">
        <f t="shared" ref="AE62" si="48">+AE45/AE$46</f>
        <v>0.10053093259464452</v>
      </c>
    </row>
    <row r="63" spans="1:31" x14ac:dyDescent="0.25">
      <c r="A63" s="95" t="str">
        <f t="shared" si="39"/>
        <v>Total core Crown expenses excluding losses</v>
      </c>
      <c r="B63" s="102">
        <f t="shared" si="35"/>
        <v>1</v>
      </c>
      <c r="C63" s="102">
        <f t="shared" si="36"/>
        <v>1</v>
      </c>
      <c r="D63" s="102">
        <f t="shared" si="36"/>
        <v>1</v>
      </c>
      <c r="E63" s="102">
        <f t="shared" si="36"/>
        <v>1</v>
      </c>
      <c r="F63" s="102">
        <f t="shared" si="36"/>
        <v>1</v>
      </c>
      <c r="G63" s="102">
        <f t="shared" si="36"/>
        <v>1</v>
      </c>
      <c r="H63" s="102">
        <f t="shared" si="36"/>
        <v>1</v>
      </c>
      <c r="I63" s="102">
        <f t="shared" si="36"/>
        <v>1</v>
      </c>
      <c r="J63" s="102">
        <f t="shared" si="36"/>
        <v>1</v>
      </c>
      <c r="K63" s="102">
        <f t="shared" si="36"/>
        <v>1</v>
      </c>
      <c r="L63" s="102">
        <f t="shared" si="36"/>
        <v>1</v>
      </c>
      <c r="M63" s="102">
        <f t="shared" si="36"/>
        <v>1</v>
      </c>
      <c r="N63" s="102">
        <f t="shared" si="36"/>
        <v>1</v>
      </c>
      <c r="O63" s="102">
        <f t="shared" si="36"/>
        <v>1</v>
      </c>
      <c r="P63" s="102">
        <f t="shared" si="36"/>
        <v>1</v>
      </c>
      <c r="Q63" s="102">
        <f t="shared" si="36"/>
        <v>1</v>
      </c>
      <c r="R63" s="102">
        <f t="shared" si="36"/>
        <v>1</v>
      </c>
      <c r="S63" s="102">
        <f t="shared" si="36"/>
        <v>1</v>
      </c>
      <c r="T63" s="102">
        <f t="shared" si="36"/>
        <v>1</v>
      </c>
      <c r="U63" s="102">
        <f t="shared" si="36"/>
        <v>1</v>
      </c>
      <c r="V63" s="102">
        <f t="shared" si="36"/>
        <v>1</v>
      </c>
      <c r="W63" s="102">
        <f t="shared" si="36"/>
        <v>1</v>
      </c>
      <c r="X63" s="102">
        <f t="shared" si="36"/>
        <v>1</v>
      </c>
      <c r="Y63" s="102">
        <f t="shared" si="37"/>
        <v>1</v>
      </c>
      <c r="Z63" s="102">
        <f t="shared" si="37"/>
        <v>1</v>
      </c>
      <c r="AA63" s="102">
        <f t="shared" si="37"/>
        <v>1</v>
      </c>
      <c r="AB63" s="102">
        <f t="shared" si="37"/>
        <v>1</v>
      </c>
      <c r="AC63" s="102">
        <f t="shared" si="37"/>
        <v>1</v>
      </c>
      <c r="AD63" s="102">
        <f t="shared" si="37"/>
        <v>1</v>
      </c>
      <c r="AE63" s="102">
        <f t="shared" ref="AE63" si="49">+AE46/AE$46</f>
        <v>1</v>
      </c>
    </row>
    <row r="64" spans="1:31" x14ac:dyDescent="0.25">
      <c r="A64" s="95"/>
      <c r="B64" s="102"/>
    </row>
  </sheetData>
  <mergeCells count="5">
    <mergeCell ref="A2:A4"/>
    <mergeCell ref="A32:A35"/>
    <mergeCell ref="A50:A52"/>
    <mergeCell ref="Z18:AB19"/>
    <mergeCell ref="AD18:AG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8"/>
  <sheetViews>
    <sheetView topLeftCell="A22" workbookViewId="0">
      <selection activeCell="P4" sqref="P4"/>
    </sheetView>
  </sheetViews>
  <sheetFormatPr defaultColWidth="9.140625" defaultRowHeight="15" x14ac:dyDescent="0.25"/>
  <cols>
    <col min="1" max="1" width="40.5703125" style="121" customWidth="1"/>
    <col min="2" max="2" width="9.140625" style="121"/>
    <col min="3" max="3" width="10.7109375" style="121" customWidth="1"/>
    <col min="4" max="16" width="9.140625" style="121"/>
    <col min="17" max="17" width="10.140625" style="121" bestFit="1" customWidth="1"/>
    <col min="18" max="18" width="9.7109375" style="121" bestFit="1" customWidth="1"/>
    <col min="19" max="16384" width="9.140625" style="121"/>
  </cols>
  <sheetData>
    <row r="1" spans="1:32" ht="15" customHeight="1" x14ac:dyDescent="0.25">
      <c r="A1" s="61" t="s">
        <v>64</v>
      </c>
      <c r="B1" s="196" t="s">
        <v>65</v>
      </c>
      <c r="C1" s="196"/>
      <c r="D1" s="196"/>
      <c r="E1" s="196"/>
      <c r="F1" s="196"/>
      <c r="G1" s="196"/>
      <c r="H1" s="196"/>
      <c r="I1" s="196"/>
      <c r="J1" s="196"/>
      <c r="K1" s="196"/>
      <c r="L1" s="196"/>
      <c r="M1" s="196"/>
      <c r="N1" s="196"/>
      <c r="P1" s="197" t="s">
        <v>66</v>
      </c>
      <c r="Q1" s="84">
        <v>36678</v>
      </c>
      <c r="R1" s="84">
        <v>40330</v>
      </c>
      <c r="S1" s="84">
        <v>43252</v>
      </c>
    </row>
    <row r="2" spans="1:32" x14ac:dyDescent="0.25">
      <c r="A2" s="79"/>
      <c r="B2" s="76">
        <v>2009</v>
      </c>
      <c r="C2" s="77">
        <v>2010</v>
      </c>
      <c r="D2" s="77">
        <v>2011</v>
      </c>
      <c r="E2" s="77">
        <v>2012</v>
      </c>
      <c r="F2" s="77">
        <v>2013</v>
      </c>
      <c r="G2" s="77">
        <v>2014</v>
      </c>
      <c r="H2" s="77">
        <v>2015</v>
      </c>
      <c r="I2" s="77">
        <v>2016</v>
      </c>
      <c r="J2" s="77" t="s">
        <v>150</v>
      </c>
      <c r="K2" s="77">
        <v>2018</v>
      </c>
      <c r="L2" s="77">
        <v>2019</v>
      </c>
      <c r="M2" s="77">
        <v>2020</v>
      </c>
      <c r="N2" s="78">
        <v>2021</v>
      </c>
      <c r="P2" s="198"/>
      <c r="Q2" s="84">
        <v>39965</v>
      </c>
      <c r="R2" s="84">
        <v>42887</v>
      </c>
      <c r="S2" s="84">
        <v>44713</v>
      </c>
      <c r="AF2" s="164"/>
    </row>
    <row r="3" spans="1:32" x14ac:dyDescent="0.25">
      <c r="A3" s="121" t="str">
        <f>+'Real per person (Core)'!A6</f>
        <v>Core govt services</v>
      </c>
      <c r="B3" s="52">
        <f>+'Real per person (Core)'!R6/'Real per person (Core)'!Q6-1</f>
        <v>0.52576265001233047</v>
      </c>
      <c r="C3" s="52">
        <f>+'Real per person (Core)'!S6/'Real per person (Core)'!R6-1</f>
        <v>-0.45343616459778557</v>
      </c>
      <c r="D3" s="52">
        <f>+'Real per person (Core)'!T6/'Real per person (Core)'!S6-1</f>
        <v>0.76327885151184849</v>
      </c>
      <c r="E3" s="52">
        <f>+'Real per person (Core)'!U6/'Real per person (Core)'!T6-1</f>
        <v>-3.8721445322879688E-2</v>
      </c>
      <c r="F3" s="52">
        <f>+'Real per person (Core)'!V6/'Real per person (Core)'!U6-1</f>
        <v>-0.22033326318551394</v>
      </c>
      <c r="G3" s="52">
        <f>+'Real per person (Core)'!W6/'Real per person (Core)'!V6-1</f>
        <v>1.6306045552124893E-2</v>
      </c>
      <c r="H3" s="52">
        <f>+'Real per person (Core)'!X6/'Real per person (Core)'!W6-1</f>
        <v>-0.10269118478449679</v>
      </c>
      <c r="I3" s="52">
        <f>+'Real per person (Core)'!Y6/'Real per person (Core)'!X6-1</f>
        <v>-3.2334574025282059E-2</v>
      </c>
      <c r="J3" s="52">
        <f>+'Real per person (Core)'!Z6/'Real per person (Core)'!Y6-1</f>
        <v>-7.1827803650260758E-2</v>
      </c>
      <c r="K3" s="52">
        <f>+'Real per person (Core)'!AA6/'Real per person (Core)'!Z6-1</f>
        <v>0.31246094706875005</v>
      </c>
      <c r="L3" s="52">
        <f>+'Real per person (Core)'!AB6/'Real per person (Core)'!AA6-1</f>
        <v>-0.11698762246771133</v>
      </c>
      <c r="M3" s="52">
        <f>+'Real per person (Core)'!AC6/'Real per person (Core)'!AB6-1</f>
        <v>-8.7031009830451644E-3</v>
      </c>
      <c r="N3" s="52">
        <f>+'Real per person (Core)'!AD6/'Real per person (Core)'!AC6-1</f>
        <v>-3.7799561988905217E-2</v>
      </c>
      <c r="O3" s="129"/>
      <c r="P3" s="52">
        <f>+('Real per person (Core)'!Y6/'Real per person (Core)'!B6)^(1/(YEAR('Real per person (Core)'!$Y$2)-YEAR('Real per person (Core)'!$B$2)))-1</f>
        <v>1.2577639983675892E-2</v>
      </c>
      <c r="Q3" s="52">
        <f>(INDEX('Real per person (Core)'!$B$6:$AD$15,MATCH($A3,'Real per person (Core)'!$A$6:$A$15,0),MATCH($Q$2,'Real per person (Core)'!$B$2:$AD$2,0))/INDEX('Real per person (Core)'!$B$6:$AD$15,MATCH($A3,'Real per person (Core)'!$A$6:$A$15,0),MATCH($Q$1,'Real per person (Core)'!$B$2:$AD$2,0)))^(1/(YEAR($Q$2)-YEAR($Q$1)))-1</f>
        <v>9.0372576333633825E-2</v>
      </c>
      <c r="R3" s="52">
        <f>(INDEX('Real per person (Core)'!$B$6:$AD$15,MATCH($A3,'Real per person (Core)'!$A$6:$A$15,0),MATCH($R$2,'Real per person (Core)'!$B$2:$AD$2,0))/INDEX('Real per person (Core)'!$B$6:$AD$15,MATCH($A3,'Real per person (Core)'!$A$6:$A$15,0),MATCH($R$1,'Real per person (Core)'!$B$2:$AD$2,0)))^(1/(YEAR($R$2)-YEAR($R$1)))-1</f>
        <v>1.1379651484673126E-2</v>
      </c>
      <c r="S3" s="52" t="e">
        <f>(INDEX('Real per person (Core)'!$B$6:$AD$15,MATCH($A3,'Real per person (Core)'!$A$6:$A$15,0),MATCH($S$2,'Real per person (Core)'!$B$2:$AD$2,0))/INDEX('Real per person (Core)'!$B$6:$AD$15,MATCH($A3,'Real per person (Core)'!$A$6:$A$15,0),MATCH($S$1,'Real per person (Core)'!$B$2:$AD$2,0)))^(1/(YEAR($S$2)-YEAR($S$1)))-1</f>
        <v>#N/A</v>
      </c>
    </row>
    <row r="4" spans="1:32" x14ac:dyDescent="0.25">
      <c r="A4" s="121" t="str">
        <f>+'Real per person (Core)'!A7</f>
        <v>Defence</v>
      </c>
      <c r="B4" s="52">
        <f>+'Real per person (Core)'!R7/'Real per person (Core)'!Q7-1</f>
        <v>9.3036261302473777E-2</v>
      </c>
      <c r="C4" s="52">
        <f>+'Real per person (Core)'!S7/'Real per person (Core)'!R7-1</f>
        <v>4.3089738733670391E-3</v>
      </c>
      <c r="D4" s="52">
        <f>+'Real per person (Core)'!T7/'Real per person (Core)'!S7-1</f>
        <v>-5.9943001329980428E-2</v>
      </c>
      <c r="E4" s="52">
        <f>+'Real per person (Core)'!U7/'Real per person (Core)'!T7-1</f>
        <v>-5.4569456713701614E-2</v>
      </c>
      <c r="F4" s="52">
        <f>+'Real per person (Core)'!V7/'Real per person (Core)'!U7-1</f>
        <v>2.4173695581280796E-2</v>
      </c>
      <c r="G4" s="52">
        <f>+'Real per person (Core)'!W7/'Real per person (Core)'!V7-1</f>
        <v>-2.6887669653953394E-2</v>
      </c>
      <c r="H4" s="52">
        <f>+'Real per person (Core)'!X7/'Real per person (Core)'!W7-1</f>
        <v>5.8122857365297653E-2</v>
      </c>
      <c r="I4" s="52">
        <f>+'Real per person (Core)'!Y7/'Real per person (Core)'!X7-1</f>
        <v>7.5390510623207785E-3</v>
      </c>
      <c r="J4" s="52">
        <f>+'Real per person (Core)'!Z7/'Real per person (Core)'!Y7-1</f>
        <v>1.9174237798380123E-2</v>
      </c>
      <c r="K4" s="52">
        <f>+'Real per person (Core)'!AA7/'Real per person (Core)'!Z7-1</f>
        <v>2.3029646421801164E-2</v>
      </c>
      <c r="L4" s="52">
        <f>+'Real per person (Core)'!AB7/'Real per person (Core)'!AA7-1</f>
        <v>4.0168543471516882E-2</v>
      </c>
      <c r="M4" s="52">
        <f>+'Real per person (Core)'!AC7/'Real per person (Core)'!AB7-1</f>
        <v>4.9993729885886573E-3</v>
      </c>
      <c r="N4" s="52">
        <f>+'Real per person (Core)'!AD7/'Real per person (Core)'!AC7-1</f>
        <v>4.267871883449903E-3</v>
      </c>
      <c r="O4" s="129"/>
      <c r="P4" s="52">
        <f>+('Real per person (Core)'!Y7/'Real per person (Core)'!B7)^(1/(YEAR('Real per person (Core)'!$Y$2)-YEAR('Real per person (Core)'!$B$2)))-1</f>
        <v>-8.4994063236929485E-3</v>
      </c>
      <c r="Q4" s="52">
        <f>(INDEX('Real per person (Core)'!$B$6:$AD$15,MATCH($A4,'Real per person (Core)'!$A$6:$A$15,0),MATCH($Q$2,'Real per person (Core)'!$B$2:$AD$2,0))/INDEX('Real per person (Core)'!$B$6:$AD$15,MATCH($A4,'Real per person (Core)'!$A$6:$A$15,0),MATCH($Q$1,'Real per person (Core)'!$B$2:$AD$2,0)))^(1/(YEAR($Q$2)-YEAR($Q$1)))-1</f>
        <v>-9.2730545042074564E-4</v>
      </c>
      <c r="R4" s="52">
        <f>(INDEX('Real per person (Core)'!$B$6:$AD$15,MATCH($A4,'Real per person (Core)'!$A$6:$A$15,0),MATCH($R$2,'Real per person (Core)'!$B$2:$AD$2,0))/INDEX('Real per person (Core)'!$B$6:$AD$15,MATCH($A4,'Real per person (Core)'!$A$6:$A$15,0),MATCH($R$1,'Real per person (Core)'!$B$2:$AD$2,0)))^(1/(YEAR($R$2)-YEAR($R$1)))-1</f>
        <v>-5.4563866530098482E-3</v>
      </c>
    </row>
    <row r="5" spans="1:32" x14ac:dyDescent="0.25">
      <c r="A5" s="121" t="str">
        <f>+'Real per person (Core)'!A8</f>
        <v>Education</v>
      </c>
      <c r="B5" s="52">
        <f>+'Real per person (Core)'!R8/'Real per person (Core)'!Q8-1</f>
        <v>0.16544044698418192</v>
      </c>
      <c r="C5" s="52">
        <f>+'Real per person (Core)'!S8/'Real per person (Core)'!R8-1</f>
        <v>-4.4053864083601901E-3</v>
      </c>
      <c r="D5" s="52">
        <f>+'Real per person (Core)'!T8/'Real per person (Core)'!S8-1</f>
        <v>-6.329461158358729E-2</v>
      </c>
      <c r="E5" s="52">
        <f>+'Real per person (Core)'!U8/'Real per person (Core)'!T8-1</f>
        <v>-1.4475187368304332E-2</v>
      </c>
      <c r="F5" s="52">
        <f>+'Real per person (Core)'!V8/'Real per person (Core)'!U8-1</f>
        <v>5.7452227333796735E-2</v>
      </c>
      <c r="G5" s="52">
        <f>+'Real per person (Core)'!W8/'Real per person (Core)'!V8-1</f>
        <v>-4.646375686497084E-2</v>
      </c>
      <c r="H5" s="52">
        <f>+'Real per person (Core)'!X8/'Real per person (Core)'!W8-1</f>
        <v>2.3184575278661024E-2</v>
      </c>
      <c r="I5" s="52">
        <f>+'Real per person (Core)'!Y8/'Real per person (Core)'!X8-1</f>
        <v>-3.6595110203430092E-3</v>
      </c>
      <c r="J5" s="52">
        <f>+'Real per person (Core)'!Z8/'Real per person (Core)'!Y8-1</f>
        <v>-2.8821509238927678E-2</v>
      </c>
      <c r="K5" s="52">
        <f>+'Real per person (Core)'!AA8/'Real per person (Core)'!Z8-1</f>
        <v>2.5185692029759732E-2</v>
      </c>
      <c r="L5" s="52">
        <f>+'Real per person (Core)'!AB8/'Real per person (Core)'!AA8-1</f>
        <v>4.1213023173966246E-2</v>
      </c>
      <c r="M5" s="52">
        <f>+'Real per person (Core)'!AC8/'Real per person (Core)'!AB8-1</f>
        <v>1.3879688403851453E-2</v>
      </c>
      <c r="N5" s="52">
        <f>+'Real per person (Core)'!AD8/'Real per person (Core)'!AC8-1</f>
        <v>1.9171563838372929E-2</v>
      </c>
      <c r="O5" s="129"/>
      <c r="P5" s="52">
        <f>+('Real per person (Core)'!Y8/'Real per person (Core)'!B8)^(1/(YEAR('Real per person (Core)'!$Y$2)-YEAR('Real per person (Core)'!$B$2)))-1</f>
        <v>1.4076525422281216E-2</v>
      </c>
      <c r="Q5" s="52">
        <f>(INDEX('Real per person (Core)'!$B$6:$AD$15,MATCH($A5,'Real per person (Core)'!$A$6:$A$15,0),MATCH($Q$2,'Real per person (Core)'!$B$2:$AD$2,0))/INDEX('Real per person (Core)'!$B$6:$AD$15,MATCH($A5,'Real per person (Core)'!$A$6:$A$15,0),MATCH($Q$1,'Real per person (Core)'!$B$2:$AD$2,0)))^(1/(YEAR($Q$2)-YEAR($Q$1)))-1</f>
        <v>2.7604567073996389E-2</v>
      </c>
      <c r="R5" s="52">
        <f>(INDEX('Real per person (Core)'!$B$6:$AD$15,MATCH($A5,'Real per person (Core)'!$A$6:$A$15,0),MATCH($R$2,'Real per person (Core)'!$B$2:$AD$2,0))/INDEX('Real per person (Core)'!$B$6:$AD$15,MATCH($A5,'Real per person (Core)'!$A$6:$A$15,0),MATCH($R$1,'Real per person (Core)'!$B$2:$AD$2,0)))^(1/(YEAR($R$2)-YEAR($R$1)))-1</f>
        <v>-1.1599933437072107E-2</v>
      </c>
      <c r="AF5" s="164"/>
    </row>
    <row r="6" spans="1:32" x14ac:dyDescent="0.25">
      <c r="A6" s="121" t="str">
        <f>+'Real per person (Core)'!A9</f>
        <v>Finance costs</v>
      </c>
      <c r="B6" s="52">
        <f>+'Real per person (Core)'!R9/'Real per person (Core)'!Q9-1</f>
        <v>-4.0519294960646546E-2</v>
      </c>
      <c r="C6" s="52">
        <f>+'Real per person (Core)'!S9/'Real per person (Core)'!R9-1</f>
        <v>-7.4504625099753974E-2</v>
      </c>
      <c r="D6" s="52">
        <f>+'Real per person (Core)'!T9/'Real per person (Core)'!S9-1</f>
        <v>0.25061924639770883</v>
      </c>
      <c r="E6" s="52">
        <f>+'Real per person (Core)'!U9/'Real per person (Core)'!T9-1</f>
        <v>0.12817677139754369</v>
      </c>
      <c r="F6" s="52">
        <f>+'Real per person (Core)'!V9/'Real per person (Core)'!U9-1</f>
        <v>1.5885025441078948E-2</v>
      </c>
      <c r="G6" s="52">
        <f>+'Real per person (Core)'!W9/'Real per person (Core)'!V9-1</f>
        <v>-3.0381158909264627E-2</v>
      </c>
      <c r="H6" s="52">
        <f>+'Real per person (Core)'!X9/'Real per person (Core)'!W9-1</f>
        <v>2.1185697257685154E-2</v>
      </c>
      <c r="I6" s="52">
        <f>+'Real per person (Core)'!Y9/'Real per person (Core)'!X9-1</f>
        <v>-7.4538944541965746E-2</v>
      </c>
      <c r="J6" s="52">
        <f>+'Real per person (Core)'!Z9/'Real per person (Core)'!Y9-1</f>
        <v>-5.2824933292383691E-2</v>
      </c>
      <c r="K6" s="52">
        <f>+'Real per person (Core)'!AA9/'Real per person (Core)'!Z9-1</f>
        <v>-3.6478665733439719E-2</v>
      </c>
      <c r="L6" s="52">
        <f>+'Real per person (Core)'!AB9/'Real per person (Core)'!AA9-1</f>
        <v>-5.365518863611074E-2</v>
      </c>
      <c r="M6" s="52">
        <f>+'Real per person (Core)'!AC9/'Real per person (Core)'!AB9-1</f>
        <v>-3.5480284370295712E-2</v>
      </c>
      <c r="N6" s="52">
        <f>+'Real per person (Core)'!AD9/'Real per person (Core)'!AC9-1</f>
        <v>-1.5364728447183951E-2</v>
      </c>
      <c r="O6" s="129"/>
      <c r="P6" s="52">
        <f>+('Real per person (Core)'!Y9/'Real per person (Core)'!B9)^(1/(YEAR('Real per person (Core)'!$Y$2)-YEAR('Real per person (Core)'!$B$2)))-1</f>
        <v>-3.5911699996200586E-2</v>
      </c>
      <c r="Q6" s="52">
        <f>(INDEX('Real per person (Core)'!$B$6:$AD$15,MATCH($A6,'Real per person (Core)'!$A$6:$A$15,0),MATCH($Q$2,'Real per person (Core)'!$B$2:$AD$2,0))/INDEX('Real per person (Core)'!$B$6:$AD$15,MATCH($A6,'Real per person (Core)'!$A$6:$A$15,0),MATCH($Q$1,'Real per person (Core)'!$B$2:$AD$2,0)))^(1/(YEAR($Q$2)-YEAR($Q$1)))-1</f>
        <v>-3.5776779408395298E-2</v>
      </c>
      <c r="R6" s="52">
        <f>(INDEX('Real per person (Core)'!$B$6:$AD$15,MATCH($A6,'Real per person (Core)'!$A$6:$A$15,0),MATCH($R$2,'Real per person (Core)'!$B$2:$AD$2,0))/INDEX('Real per person (Core)'!$B$6:$AD$15,MATCH($A6,'Real per person (Core)'!$A$6:$A$15,0),MATCH($R$1,'Real per person (Core)'!$B$2:$AD$2,0)))^(1/(YEAR($R$2)-YEAR($R$1)))-1</f>
        <v>3.1688794398909259E-2</v>
      </c>
      <c r="AF6" s="164"/>
    </row>
    <row r="7" spans="1:32" x14ac:dyDescent="0.25">
      <c r="A7" s="121" t="str">
        <f>+'Real per person (Core)'!A10</f>
        <v>Health</v>
      </c>
      <c r="B7" s="52">
        <f>+'Real per person (Core)'!R10/'Real per person (Core)'!Q10-1</f>
        <v>6.3849480159782424E-2</v>
      </c>
      <c r="C7" s="52">
        <f>+'Real per person (Core)'!S10/'Real per person (Core)'!R10-1</f>
        <v>3.2525802941233639E-2</v>
      </c>
      <c r="D7" s="52">
        <f>+'Real per person (Core)'!T10/'Real per person (Core)'!S10-1</f>
        <v>-1.246663461781905E-2</v>
      </c>
      <c r="E7" s="52">
        <f>+'Real per person (Core)'!U10/'Real per person (Core)'!T10-1</f>
        <v>1.4341711943099078E-2</v>
      </c>
      <c r="F7" s="52">
        <f>+'Real per person (Core)'!V10/'Real per person (Core)'!U10-1</f>
        <v>9.0940539424688716E-3</v>
      </c>
      <c r="G7" s="52">
        <f>+'Real per person (Core)'!W10/'Real per person (Core)'!V10-1</f>
        <v>-3.9046035527090517E-3</v>
      </c>
      <c r="H7" s="52">
        <f>+'Real per person (Core)'!X10/'Real per person (Core)'!W10-1</f>
        <v>-1.2319963786375232E-2</v>
      </c>
      <c r="I7" s="52">
        <f>+'Real per person (Core)'!Y10/'Real per person (Core)'!X10-1</f>
        <v>1.2000128641630026E-2</v>
      </c>
      <c r="J7" s="52">
        <f>+'Real per person (Core)'!Z10/'Real per person (Core)'!Y10-1</f>
        <v>-1.0551578265108885E-3</v>
      </c>
      <c r="K7" s="52">
        <f>+'Real per person (Core)'!AA10/'Real per person (Core)'!Z10-1</f>
        <v>2.321347042553823E-3</v>
      </c>
      <c r="L7" s="52">
        <f>+'Real per person (Core)'!AB10/'Real per person (Core)'!AA10-1</f>
        <v>2.6878606512940273E-2</v>
      </c>
      <c r="M7" s="52">
        <f>+'Real per person (Core)'!AC10/'Real per person (Core)'!AB10-1</f>
        <v>3.4753925605037761E-3</v>
      </c>
      <c r="N7" s="52">
        <f>+'Real per person (Core)'!AD10/'Real per person (Core)'!AC10-1</f>
        <v>-1.5675805549908439E-4</v>
      </c>
      <c r="O7" s="129"/>
      <c r="P7" s="52">
        <f>+('Real per person (Core)'!Y10/'Real per person (Core)'!B10)^(1/(YEAR('Real per person (Core)'!$Y$2)-YEAR('Real per person (Core)'!$B$2)))-1</f>
        <v>2.5479148892968428E-2</v>
      </c>
      <c r="Q7" s="52">
        <f>(INDEX('Real per person (Core)'!$B$6:$AD$15,MATCH($A7,'Real per person (Core)'!$A$6:$A$15,0),MATCH($Q$2,'Real per person (Core)'!$B$2:$AD$2,0))/INDEX('Real per person (Core)'!$B$6:$AD$15,MATCH($A7,'Real per person (Core)'!$A$6:$A$15,0),MATCH($Q$1,'Real per person (Core)'!$B$2:$AD$2,0)))^(1/(YEAR($Q$2)-YEAR($Q$1)))-1</f>
        <v>2.6586107873241893E-2</v>
      </c>
      <c r="R7" s="52">
        <f>(INDEX('Real per person (Core)'!$B$6:$AD$15,MATCH($A7,'Real per person (Core)'!$A$6:$A$15,0),MATCH($R$2,'Real per person (Core)'!$B$2:$AD$2,0))/INDEX('Real per person (Core)'!$B$6:$AD$15,MATCH($A7,'Real per person (Core)'!$A$6:$A$15,0),MATCH($R$1,'Real per person (Core)'!$B$2:$AD$2,0)))^(1/(YEAR($R$2)-YEAR($R$1)))-1</f>
        <v>7.5915264004788874E-4</v>
      </c>
    </row>
    <row r="8" spans="1:32" x14ac:dyDescent="0.25">
      <c r="A8" s="121" t="str">
        <f>+'Real per person (Core)'!A11</f>
        <v>Law and order</v>
      </c>
      <c r="B8" s="52">
        <f>+'Real per person (Core)'!R11/'Real per person (Core)'!Q11-1</f>
        <v>3.7201698770549241E-2</v>
      </c>
      <c r="C8" s="52">
        <f>+'Real per person (Core)'!S11/'Real per person (Core)'!R11-1</f>
        <v>4.8719371796854816E-3</v>
      </c>
      <c r="D8" s="52">
        <f>+'Real per person (Core)'!T11/'Real per person (Core)'!S11-1</f>
        <v>-9.2129555976538935E-4</v>
      </c>
      <c r="E8" s="52">
        <f>+'Real per person (Core)'!U11/'Real per person (Core)'!T11-1</f>
        <v>-8.6960870549560587E-3</v>
      </c>
      <c r="F8" s="52">
        <f>+'Real per person (Core)'!V11/'Real per person (Core)'!U11-1</f>
        <v>9.1820813977605553E-4</v>
      </c>
      <c r="G8" s="52">
        <f>+'Real per person (Core)'!W11/'Real per person (Core)'!V11-1</f>
        <v>-1.8027251727981475E-2</v>
      </c>
      <c r="H8" s="52">
        <f>+'Real per person (Core)'!X11/'Real per person (Core)'!W11-1</f>
        <v>-1.8907013115322058E-2</v>
      </c>
      <c r="I8" s="52">
        <f>+'Real per person (Core)'!Y11/'Real per person (Core)'!X11-1</f>
        <v>1.2114253071093373E-2</v>
      </c>
      <c r="J8" s="52">
        <f>+'Real per person (Core)'!Z11/'Real per person (Core)'!Y11-1</f>
        <v>2.3903109778403486E-2</v>
      </c>
      <c r="K8" s="52">
        <f>+'Real per person (Core)'!AA11/'Real per person (Core)'!Z11-1</f>
        <v>1.1478003710681861E-2</v>
      </c>
      <c r="L8" s="52">
        <f>+'Real per person (Core)'!AB11/'Real per person (Core)'!AA11-1</f>
        <v>2.6541391122064439E-2</v>
      </c>
      <c r="M8" s="52">
        <f>+'Real per person (Core)'!AC11/'Real per person (Core)'!AB11-1</f>
        <v>1.0089198813475919E-2</v>
      </c>
      <c r="N8" s="52">
        <f>+'Real per person (Core)'!AD11/'Real per person (Core)'!AC11-1</f>
        <v>8.1279628094972356E-3</v>
      </c>
      <c r="O8" s="129"/>
      <c r="P8" s="52">
        <f>+('Real per person (Core)'!Y11/'Real per person (Core)'!B11)^(1/(YEAR('Real per person (Core)'!$Y$2)-YEAR('Real per person (Core)'!$B$2)))-1</f>
        <v>2.1922314647803143E-2</v>
      </c>
      <c r="Q8" s="52">
        <f>(INDEX('Real per person (Core)'!$B$6:$AD$15,MATCH($A8,'Real per person (Core)'!$A$6:$A$15,0),MATCH($Q$2,'Real per person (Core)'!$B$2:$AD$2,0))/INDEX('Real per person (Core)'!$B$6:$AD$15,MATCH($A8,'Real per person (Core)'!$A$6:$A$15,0),MATCH($Q$1,'Real per person (Core)'!$B$2:$AD$2,0)))^(1/(YEAR($Q$2)-YEAR($Q$1)))-1</f>
        <v>3.9736926613311185E-2</v>
      </c>
      <c r="R8" s="52">
        <f>(INDEX('Real per person (Core)'!$B$6:$AD$15,MATCH($A8,'Real per person (Core)'!$A$6:$A$15,0),MATCH($R$2,'Real per person (Core)'!$B$2:$AD$2,0))/INDEX('Real per person (Core)'!$B$6:$AD$15,MATCH($A8,'Real per person (Core)'!$A$6:$A$15,0),MATCH($R$1,'Real per person (Core)'!$B$2:$AD$2,0)))^(1/(YEAR($R$2)-YEAR($R$1)))-1</f>
        <v>-1.4781129111196556E-3</v>
      </c>
    </row>
    <row r="9" spans="1:32" x14ac:dyDescent="0.25">
      <c r="A9" s="121" t="str">
        <f>+'Real per person (Core)'!A12</f>
        <v>Welfare</v>
      </c>
      <c r="B9" s="52">
        <f>+'Real per person (Core)'!R12/'Real per person (Core)'!Q12-1</f>
        <v>7.4076130041123678E-2</v>
      </c>
      <c r="C9" s="52">
        <f>+'Real per person (Core)'!S12/'Real per person (Core)'!R12-1</f>
        <v>7.7816469903298602E-2</v>
      </c>
      <c r="D9" s="52">
        <f>+'Real per person (Core)'!T12/'Real per person (Core)'!S12-1</f>
        <v>-3.6876054998618679E-2</v>
      </c>
      <c r="E9" s="52">
        <f>+'Real per person (Core)'!U12/'Real per person (Core)'!T12-1</f>
        <v>-6.9475412328529051E-2</v>
      </c>
      <c r="F9" s="52">
        <f>+'Real per person (Core)'!V12/'Real per person (Core)'!U12-1</f>
        <v>-9.5211029969932692E-3</v>
      </c>
      <c r="G9" s="52">
        <f>+'Real per person (Core)'!W12/'Real per person (Core)'!V12-1</f>
        <v>-4.1345510033584665E-2</v>
      </c>
      <c r="H9" s="52">
        <f>+'Real per person (Core)'!X12/'Real per person (Core)'!W12-1</f>
        <v>-5.726263436231005E-2</v>
      </c>
      <c r="I9" s="52">
        <f>+'Real per person (Core)'!Y12/'Real per person (Core)'!X12-1</f>
        <v>-3.4430003365577E-2</v>
      </c>
      <c r="J9" s="52">
        <f>+'Real per person (Core)'!Z12/'Real per person (Core)'!Y12-1</f>
        <v>-2.2247339270944355E-3</v>
      </c>
      <c r="K9" s="52">
        <f>+'Real per person (Core)'!AA12/'Real per person (Core)'!Z12-1</f>
        <v>-1.1730484652103801E-2</v>
      </c>
      <c r="L9" s="52">
        <f>+'Real per person (Core)'!AB12/'Real per person (Core)'!AA12-1</f>
        <v>0.103224673226751</v>
      </c>
      <c r="M9" s="52">
        <f>+'Real per person (Core)'!AC12/'Real per person (Core)'!AB12-1</f>
        <v>-2.0168003412880942E-2</v>
      </c>
      <c r="N9" s="52">
        <f>+'Real per person (Core)'!AD12/'Real per person (Core)'!AC12-1</f>
        <v>-1.1152709934613037E-2</v>
      </c>
      <c r="O9" s="129"/>
      <c r="P9" s="52">
        <f>+('Real per person (Core)'!Y12/'Real per person (Core)'!B12)^(1/(YEAR('Real per person (Core)'!$Y$2)-YEAR('Real per person (Core)'!$B$2)))-1</f>
        <v>-8.9379865172386497E-3</v>
      </c>
      <c r="Q9" s="52">
        <f>(INDEX('Real per person (Core)'!$B$6:$AD$15,MATCH($A9,'Real per person (Core)'!$A$6:$A$15,0),MATCH($Q$2,'Real per person (Core)'!$B$2:$AD$2,0))/INDEX('Real per person (Core)'!$B$6:$AD$15,MATCH($A9,'Real per person (Core)'!$A$6:$A$15,0),MATCH($Q$1,'Real per person (Core)'!$B$2:$AD$2,0)))^(1/(YEAR($Q$2)-YEAR($Q$1)))-1</f>
        <v>5.0518056924617749E-3</v>
      </c>
      <c r="R9" s="52">
        <f>(INDEX('Real per person (Core)'!$B$6:$AD$15,MATCH($A9,'Real per person (Core)'!$A$6:$A$15,0),MATCH($R$2,'Real per person (Core)'!$B$2:$AD$2,0))/INDEX('Real per person (Core)'!$B$6:$AD$15,MATCH($A9,'Real per person (Core)'!$A$6:$A$15,0),MATCH($R$1,'Real per person (Core)'!$B$2:$AD$2,0)))^(1/(YEAR($R$2)-YEAR($R$1)))-1</f>
        <v>-3.6131475765908139E-2</v>
      </c>
    </row>
    <row r="10" spans="1:32" x14ac:dyDescent="0.25">
      <c r="A10" s="121" t="str">
        <f>+'Real per person (Core)'!A13</f>
        <v>NZ super</v>
      </c>
      <c r="B10" s="52">
        <f>+'Real per person (Core)'!R13/'Real per person (Core)'!Q13-1</f>
        <v>2.4094501948359603E-2</v>
      </c>
      <c r="C10" s="52">
        <f>+'Real per person (Core)'!S13/'Real per person (Core)'!R13-1</f>
        <v>4.1336301349762294E-2</v>
      </c>
      <c r="D10" s="52">
        <f>+'Real per person (Core)'!T13/'Real per person (Core)'!S13-1</f>
        <v>4.0586361208883037E-3</v>
      </c>
      <c r="E10" s="52">
        <f>+'Real per person (Core)'!U13/'Real per person (Core)'!T13-1</f>
        <v>6.931233366575329E-2</v>
      </c>
      <c r="F10" s="52">
        <f>+'Real per person (Core)'!V13/'Real per person (Core)'!U13-1</f>
        <v>5.2513916865112753E-2</v>
      </c>
      <c r="G10" s="52">
        <f>+'Real per person (Core)'!W13/'Real per person (Core)'!V13-1</f>
        <v>3.3563982435072859E-2</v>
      </c>
      <c r="H10" s="52">
        <f>+'Real per person (Core)'!X13/'Real per person (Core)'!W13-1</f>
        <v>3.7895677613725587E-2</v>
      </c>
      <c r="I10" s="52">
        <f>+'Real per person (Core)'!Y13/'Real per person (Core)'!X13-1</f>
        <v>3.2089833234601128E-2</v>
      </c>
      <c r="J10" s="52">
        <f>+'Real per person (Core)'!Z13/'Real per person (Core)'!Y13-1</f>
        <v>2.3051012774947033E-2</v>
      </c>
      <c r="K10" s="52">
        <f>+'Real per person (Core)'!AA13/'Real per person (Core)'!Z13-1</f>
        <v>1.5876118442448517E-2</v>
      </c>
      <c r="L10" s="52">
        <f>+'Real per person (Core)'!AB13/'Real per person (Core)'!AA13-1</f>
        <v>1.4681670275632275E-2</v>
      </c>
      <c r="M10" s="52">
        <f>+'Real per person (Core)'!AC13/'Real per person (Core)'!AB13-1</f>
        <v>2.8231925370234778E-2</v>
      </c>
      <c r="N10" s="52">
        <f>+'Real per person (Core)'!AD13/'Real per person (Core)'!AC13-1</f>
        <v>2.3692336550082516E-2</v>
      </c>
      <c r="O10" s="129"/>
      <c r="P10" s="52">
        <f>+('Real per person (Core)'!Y13/'Real per person (Core)'!B13)^(1/(YEAR('Real per person (Core)'!$Y$2)-YEAR('Real per person (Core)'!$B$2)))-1</f>
        <v>5.3600590068860754E-3</v>
      </c>
      <c r="Q10" s="52">
        <f>(INDEX('Real per person (Core)'!$B$6:$AD$15,MATCH($A10,'Real per person (Core)'!$A$6:$A$15,0),MATCH($Q$2,'Real per person (Core)'!$B$2:$AD$2,0))/INDEX('Real per person (Core)'!$B$6:$AD$15,MATCH($A10,'Real per person (Core)'!$A$6:$A$15,0),MATCH($Q$1,'Real per person (Core)'!$B$2:$AD$2,0)))^(1/(YEAR($Q$2)-YEAR($Q$1)))-1</f>
        <v>8.1166880386447371E-3</v>
      </c>
      <c r="R10" s="52">
        <f>(INDEX('Real per person (Core)'!$B$6:$AD$15,MATCH($A10,'Real per person (Core)'!$A$6:$A$15,0),MATCH($R$2,'Real per person (Core)'!$B$2:$AD$2,0))/INDEX('Real per person (Core)'!$B$6:$AD$15,MATCH($A10,'Real per person (Core)'!$A$6:$A$15,0),MATCH($R$1,'Real per person (Core)'!$B$2:$AD$2,0)))^(1/(YEAR($R$2)-YEAR($R$1)))-1</f>
        <v>3.5890638678089726E-2</v>
      </c>
    </row>
    <row r="11" spans="1:32" x14ac:dyDescent="0.25">
      <c r="A11" s="121" t="str">
        <f>+'Real per person (Core)'!A14</f>
        <v>All other</v>
      </c>
      <c r="B11" s="52">
        <f>+'Real per person (Core)'!R14/'Real per person (Core)'!Q14-1</f>
        <v>1.4193520813310379E-3</v>
      </c>
      <c r="C11" s="52">
        <f>+'Real per person (Core)'!S14/'Real per person (Core)'!R14-1</f>
        <v>-9.1436805263013898E-2</v>
      </c>
      <c r="D11" s="52">
        <f>+'Real per person (Core)'!T14/'Real per person (Core)'!S14-1</f>
        <v>0.1310391571580285</v>
      </c>
      <c r="E11" s="52">
        <f>+'Real per person (Core)'!U14/'Real per person (Core)'!T14-1</f>
        <v>-0.23552429407238173</v>
      </c>
      <c r="F11" s="52">
        <f>+'Real per person (Core)'!V14/'Real per person (Core)'!U14-1</f>
        <v>1.779640265592608E-2</v>
      </c>
      <c r="G11" s="52">
        <f>+'Real per person (Core)'!W14/'Real per person (Core)'!V14-1</f>
        <v>-9.1370253237432753E-3</v>
      </c>
      <c r="H11" s="52">
        <f>+'Real per person (Core)'!X14/'Real per person (Core)'!W14-1</f>
        <v>-2.8506477643743144E-2</v>
      </c>
      <c r="I11" s="52">
        <f>+'Real per person (Core)'!Y14/'Real per person (Core)'!X14-1</f>
        <v>-3.7292552559331504E-4</v>
      </c>
      <c r="J11" s="52">
        <f>+'Real per person (Core)'!Z14/'Real per person (Core)'!Y14-1</f>
        <v>2.6812909831754883E-3</v>
      </c>
      <c r="K11" s="52">
        <f>+'Real per person (Core)'!AA14/'Real per person (Core)'!Z14-1</f>
        <v>0.14568974021327041</v>
      </c>
      <c r="L11" s="52">
        <f>+'Real per person (Core)'!AB14/'Real per person (Core)'!AA14-1</f>
        <v>-6.6215104091623345E-2</v>
      </c>
      <c r="M11" s="52">
        <f>+'Real per person (Core)'!AC14/'Real per person (Core)'!AB14-1</f>
        <v>-4.2791914930919606E-2</v>
      </c>
      <c r="N11" s="52">
        <f>+'Real per person (Core)'!AD14/'Real per person (Core)'!AC14-1</f>
        <v>4.123537092489471E-2</v>
      </c>
      <c r="O11" s="129"/>
      <c r="P11" s="52">
        <f>+('Real per person (Core)'!Y14/'Real per person (Core)'!B14)^(1/(YEAR('Real per person (Core)'!$Y$2)-YEAR('Real per person (Core)'!$B$2)))-1</f>
        <v>8.7274719338645834E-3</v>
      </c>
      <c r="Q11" s="52">
        <f>(INDEX('Real per person (Core)'!$B$6:$AD$15,MATCH($A11,'Real per person (Core)'!$A$6:$A$15,0),MATCH($Q$2,'Real per person (Core)'!$B$2:$AD$2,0))/INDEX('Real per person (Core)'!$B$6:$AD$15,MATCH($A11,'Real per person (Core)'!$A$6:$A$15,0),MATCH($Q$1,'Real per person (Core)'!$B$2:$AD$2,0)))^(1/(YEAR($Q$2)-YEAR($Q$1)))-1</f>
        <v>6.7036379277205738E-2</v>
      </c>
      <c r="R11" s="52">
        <f>(INDEX('Real per person (Core)'!$B$6:$AD$15,MATCH($A11,'Real per person (Core)'!$A$6:$A$15,0),MATCH($R$2,'Real per person (Core)'!$B$2:$AD$2,0))/INDEX('Real per person (Core)'!$B$6:$AD$15,MATCH($A11,'Real per person (Core)'!$A$6:$A$15,0),MATCH($R$1,'Real per person (Core)'!$B$2:$AD$2,0)))^(1/(YEAR($R$2)-YEAR($R$1)))-1</f>
        <v>-2.3098102407103083E-2</v>
      </c>
    </row>
    <row r="12" spans="1:32" x14ac:dyDescent="0.25">
      <c r="A12" s="121" t="str">
        <f>+'Real per person (Core)'!A15</f>
        <v>Total core Crown expenses excluding losses</v>
      </c>
      <c r="B12" s="52">
        <f>+'Real per person (Core)'!R15/'Real per person (Core)'!Q15-1</f>
        <v>9.1152333813792952E-2</v>
      </c>
      <c r="C12" s="52">
        <f>+'Real per person (Core)'!S15/'Real per person (Core)'!R15-1</f>
        <v>-2.7081508690237843E-2</v>
      </c>
      <c r="D12" s="52">
        <f>+'Real per person (Core)'!T15/'Real per person (Core)'!S15-1</f>
        <v>3.7446522502623036E-2</v>
      </c>
      <c r="E12" s="52">
        <f>+'Real per person (Core)'!U15/'Real per person (Core)'!T15-1</f>
        <v>-3.4027733036533836E-2</v>
      </c>
      <c r="F12" s="52">
        <f>+'Real per person (Core)'!V15/'Real per person (Core)'!U15-1</f>
        <v>3.1179781936025996E-3</v>
      </c>
      <c r="G12" s="52">
        <f>+'Real per person (Core)'!W15/'Real per person (Core)'!V15-1</f>
        <v>-1.4641606065850743E-2</v>
      </c>
      <c r="H12" s="52">
        <f>+'Real per person (Core)'!X15/'Real per person (Core)'!W15-1</f>
        <v>-1.0563416076404097E-2</v>
      </c>
      <c r="I12" s="52">
        <f>+'Real per person (Core)'!Y15/'Real per person (Core)'!X15-1</f>
        <v>-3.6812376037892447E-3</v>
      </c>
      <c r="J12" s="52">
        <f>+'Real per person (Core)'!Z15/'Real per person (Core)'!Y15-1</f>
        <v>-6.4498448581842283E-3</v>
      </c>
      <c r="K12" s="52">
        <f>+'Real per person (Core)'!AA15/'Real per person (Core)'!Z15-1</f>
        <v>3.6753260125971021E-2</v>
      </c>
      <c r="L12" s="52">
        <f>+'Real per person (Core)'!AB15/'Real per person (Core)'!AA15-1</f>
        <v>1.5617939522982294E-2</v>
      </c>
      <c r="M12" s="52">
        <f>+'Real per person (Core)'!AC15/'Real per person (Core)'!AB15-1</f>
        <v>-1.2991302592983978E-3</v>
      </c>
      <c r="N12" s="52">
        <f>+'Real per person (Core)'!AD15/'Real per person (Core)'!AC15-1</f>
        <v>7.6802362940320279E-3</v>
      </c>
      <c r="O12" s="129"/>
      <c r="P12" s="52">
        <f>+('Real per person (Core)'!Y15/'Real per person (Core)'!B15)^(1/(YEAR('Real per person (Core)'!$Y$2)-YEAR('Real per person (Core)'!$B$2)))-1</f>
        <v>4.9056221196737138E-3</v>
      </c>
      <c r="Q12" s="52">
        <f>(INDEX('Real per person (Core)'!$B$6:$AD$15,MATCH($A12,'Real per person (Core)'!$A$6:$A$15,0),MATCH($Q$2,'Real per person (Core)'!$B$2:$AD$2,0))/INDEX('Real per person (Core)'!$B$6:$AD$15,MATCH($A12,'Real per person (Core)'!$A$6:$A$15,0),MATCH($Q$1,'Real per person (Core)'!$B$2:$AD$2,0)))^(1/(YEAR($Q$2)-YEAR($Q$1)))-1</f>
        <v>2.4681885191575104E-2</v>
      </c>
      <c r="R12" s="52">
        <f>(INDEX('Real per person (Core)'!$B$6:$AD$15,MATCH($A12,'Real per person (Core)'!$A$6:$A$15,0),MATCH($R$2,'Real per person (Core)'!$B$2:$AD$2,0))/INDEX('Real per person (Core)'!$B$6:$AD$15,MATCH($A12,'Real per person (Core)'!$A$6:$A$15,0),MATCH($R$1,'Real per person (Core)'!$B$2:$AD$2,0)))^(1/(YEAR($R$2)-YEAR($R$1)))-1</f>
        <v>-4.3153508604860669E-3</v>
      </c>
    </row>
    <row r="14" spans="1:32" x14ac:dyDescent="0.25">
      <c r="B14" s="121">
        <v>2009</v>
      </c>
      <c r="C14" s="121">
        <v>2016</v>
      </c>
      <c r="D14" s="121">
        <v>2017</v>
      </c>
      <c r="E14" s="121">
        <v>2021</v>
      </c>
      <c r="F14" s="121" t="s">
        <v>68</v>
      </c>
      <c r="G14" s="121" t="s">
        <v>69</v>
      </c>
      <c r="H14" s="121" t="s">
        <v>70</v>
      </c>
    </row>
    <row r="15" spans="1:32" x14ac:dyDescent="0.25">
      <c r="A15" s="121" t="s">
        <v>71</v>
      </c>
      <c r="B15" s="136">
        <f>'Real per person (Core)'!R37</f>
        <v>26.189807176595348</v>
      </c>
      <c r="C15" s="136">
        <f>'Real per person (Core)'!Y37</f>
        <v>16.693373840055941</v>
      </c>
      <c r="D15" s="136">
        <f>'Real per person (Core)'!Z37</f>
        <v>15.494325461612004</v>
      </c>
      <c r="E15" s="136">
        <f>'Real per person (Core)'!AD37</f>
        <v>17.127546409495341</v>
      </c>
      <c r="F15" s="136">
        <f t="shared" ref="F15:F24" si="0">C15-B15</f>
        <v>-9.4964333365394076</v>
      </c>
      <c r="G15" s="136">
        <f t="shared" ref="G15:G24" si="1">D15-C15</f>
        <v>-1.199048378443937</v>
      </c>
      <c r="H15" s="136">
        <f t="shared" ref="H15:H24" si="2">E15-D15</f>
        <v>1.6332209478833377</v>
      </c>
    </row>
    <row r="16" spans="1:32" x14ac:dyDescent="0.25">
      <c r="A16" s="121" t="s">
        <v>27</v>
      </c>
      <c r="B16" s="136">
        <f>'Real per person (Core)'!R38</f>
        <v>8.6936503323782386</v>
      </c>
      <c r="C16" s="136">
        <f>'Real per person (Core)'!Y38</f>
        <v>8.2449476840451794</v>
      </c>
      <c r="D16" s="136">
        <f>'Real per person (Core)'!Z38</f>
        <v>8.4030382715742657</v>
      </c>
      <c r="E16" s="136">
        <f>'Real per person (Core)'!AD38</f>
        <v>9.0249257307312902</v>
      </c>
      <c r="F16" s="136">
        <f t="shared" si="0"/>
        <v>-0.44870264833305917</v>
      </c>
      <c r="G16" s="136">
        <f t="shared" si="1"/>
        <v>0.15809058752908633</v>
      </c>
      <c r="H16" s="136">
        <f t="shared" si="2"/>
        <v>0.62188745915702448</v>
      </c>
    </row>
    <row r="17" spans="1:16" x14ac:dyDescent="0.25">
      <c r="A17" s="121" t="s">
        <v>28</v>
      </c>
      <c r="B17" s="136">
        <f>'Real per person (Core)'!R39</f>
        <v>56.679433441885436</v>
      </c>
      <c r="C17" s="136">
        <f>'Real per person (Core)'!Y39</f>
        <v>53.54739468246126</v>
      </c>
      <c r="D17" s="136">
        <f>'Real per person (Core)'!Z39</f>
        <v>52.004077951900193</v>
      </c>
      <c r="E17" s="136">
        <f>'Real per person (Core)'!AD39</f>
        <v>57.360542343088504</v>
      </c>
      <c r="F17" s="136">
        <f t="shared" si="0"/>
        <v>-3.1320387594241765</v>
      </c>
      <c r="G17" s="136">
        <f t="shared" si="1"/>
        <v>-1.5433167305610667</v>
      </c>
      <c r="H17" s="136">
        <f t="shared" si="2"/>
        <v>5.356464391188311</v>
      </c>
    </row>
    <row r="18" spans="1:16" x14ac:dyDescent="0.25">
      <c r="A18" s="121" t="s">
        <v>29</v>
      </c>
      <c r="B18" s="136">
        <f>'Real per person (Core)'!R40</f>
        <v>12.018711814084657</v>
      </c>
      <c r="C18" s="136">
        <f>'Real per person (Core)'!Y40</f>
        <v>14.609754287128432</v>
      </c>
      <c r="D18" s="136">
        <f>'Real per person (Core)'!Z40</f>
        <v>13.837994991492755</v>
      </c>
      <c r="E18" s="136">
        <f>'Real per person (Core)'!AD40</f>
        <v>11.983133786300295</v>
      </c>
      <c r="F18" s="136">
        <f t="shared" si="0"/>
        <v>2.5910424730437747</v>
      </c>
      <c r="G18" s="136">
        <f t="shared" si="1"/>
        <v>-0.77175929563567713</v>
      </c>
      <c r="H18" s="136">
        <f t="shared" si="2"/>
        <v>-1.85486120519246</v>
      </c>
    </row>
    <row r="19" spans="1:16" x14ac:dyDescent="0.25">
      <c r="A19" s="121" t="s">
        <v>30</v>
      </c>
      <c r="B19" s="136">
        <f>'Real per person (Core)'!R41</f>
        <v>61.196964889501459</v>
      </c>
      <c r="C19" s="136">
        <f>'Real per person (Core)'!Y41</f>
        <v>63.591092058682129</v>
      </c>
      <c r="D19" s="136">
        <f>'Real per person (Core)'!Z41</f>
        <v>63.523993420200036</v>
      </c>
      <c r="E19" s="136">
        <f>'Real per person (Core)'!AD41</f>
        <v>65.599800807329189</v>
      </c>
      <c r="F19" s="136">
        <f t="shared" si="0"/>
        <v>2.3941271691806705</v>
      </c>
      <c r="G19" s="136">
        <f t="shared" si="1"/>
        <v>-6.709863848209352E-2</v>
      </c>
      <c r="H19" s="136">
        <f t="shared" si="2"/>
        <v>2.0758073871291529</v>
      </c>
      <c r="P19" s="164">
        <f>(INDEX('Real per person (Core)'!$B$6:$AD$15,MATCH($A5,'Real per person (Core)'!$A$6:$A$15,0),MATCH($R$2,'Real per person (Core)'!$B$2:$AD$2,0)))</f>
        <v>2711.6434362381365</v>
      </c>
    </row>
    <row r="20" spans="1:16" x14ac:dyDescent="0.25">
      <c r="A20" s="121" t="s">
        <v>31</v>
      </c>
      <c r="B20" s="136">
        <f>'Real per person (Core)'!R42</f>
        <v>15.284397197903461</v>
      </c>
      <c r="C20" s="136">
        <f>'Real per person (Core)'!Y42</f>
        <v>14.845789314608499</v>
      </c>
      <c r="D20" s="136">
        <f>'Real per person (Core)'!Z42</f>
        <v>15.200649846342635</v>
      </c>
      <c r="E20" s="136">
        <f>'Real per person (Core)'!AD42</f>
        <v>16.072019516688389</v>
      </c>
      <c r="F20" s="136">
        <f t="shared" si="0"/>
        <v>-0.43860788329496181</v>
      </c>
      <c r="G20" s="136">
        <f t="shared" si="1"/>
        <v>0.35486053173413623</v>
      </c>
      <c r="H20" s="136">
        <f t="shared" si="2"/>
        <v>0.87136967034575363</v>
      </c>
      <c r="P20" s="121">
        <f>INDEX('Real per person (Core)'!$B$6:$AD$15,MATCH($A5,'Real per person (Core)'!$A$6:$A$15,0),MATCH($R$1,'Real per person (Core)'!$B$2:$AD$2,0))</f>
        <v>2942.4102187317922</v>
      </c>
    </row>
    <row r="21" spans="1:16" x14ac:dyDescent="0.25">
      <c r="A21" s="121" t="s">
        <v>32</v>
      </c>
      <c r="B21" s="136">
        <f>'Real per person (Core)'!R43</f>
        <v>57.58491893467157</v>
      </c>
      <c r="C21" s="136">
        <f>'Real per person (Core)'!Y43</f>
        <v>48.077893356026543</v>
      </c>
      <c r="D21" s="136">
        <f>'Real per person (Core)'!Z43</f>
        <v>47.970932835534157</v>
      </c>
      <c r="E21" s="136">
        <f>'Real per person (Core)'!AD43</f>
        <v>50.675538688644473</v>
      </c>
      <c r="F21" s="136">
        <f t="shared" si="0"/>
        <v>-9.5070255786450275</v>
      </c>
      <c r="G21" s="136">
        <f t="shared" si="1"/>
        <v>-0.10696052049238602</v>
      </c>
      <c r="H21" s="136">
        <f t="shared" si="2"/>
        <v>2.7046058531103156</v>
      </c>
    </row>
    <row r="22" spans="1:16" x14ac:dyDescent="0.25">
      <c r="A22" s="121" t="s">
        <v>33</v>
      </c>
      <c r="B22" s="136">
        <f>'Real per person (Core)'!R44</f>
        <v>38.317375170140629</v>
      </c>
      <c r="C22" s="136">
        <f>'Real per person (Core)'!Y44</f>
        <v>49.921408312034671</v>
      </c>
      <c r="D22" s="136">
        <f>'Real per person (Core)'!Z44</f>
        <v>51.072147332778727</v>
      </c>
      <c r="E22" s="136">
        <f>'Real per person (Core)'!AD44</f>
        <v>55.413453900046562</v>
      </c>
      <c r="F22" s="136">
        <f t="shared" si="0"/>
        <v>11.604033141894043</v>
      </c>
      <c r="G22" s="136">
        <f t="shared" si="1"/>
        <v>1.1507390207440551</v>
      </c>
      <c r="H22" s="136">
        <f t="shared" si="2"/>
        <v>4.3413065672678357</v>
      </c>
    </row>
    <row r="23" spans="1:16" x14ac:dyDescent="0.25">
      <c r="A23" s="121" t="s">
        <v>34</v>
      </c>
      <c r="B23" s="136">
        <f>'Real per person (Core)'!R45</f>
        <v>40.717159126431724</v>
      </c>
      <c r="C23" s="136">
        <f>'Real per person (Core)'!Y45</f>
        <v>31.327545543820239</v>
      </c>
      <c r="D23" s="136">
        <f>'Real per person (Core)'!Z45</f>
        <v>31.411543809211906</v>
      </c>
      <c r="E23" s="136">
        <f>'Real per person (Core)'!AD45</f>
        <v>33.493337164958476</v>
      </c>
      <c r="F23" s="136">
        <f t="shared" si="0"/>
        <v>-9.389613582611485</v>
      </c>
      <c r="G23" s="136">
        <f t="shared" si="1"/>
        <v>8.3998265391667104E-2</v>
      </c>
      <c r="H23" s="136">
        <f t="shared" si="2"/>
        <v>2.0817933557465693</v>
      </c>
    </row>
    <row r="24" spans="1:16" x14ac:dyDescent="0.25">
      <c r="A24" s="121" t="s">
        <v>35</v>
      </c>
      <c r="B24" s="136">
        <f>'Real per person (Core)'!R46</f>
        <v>316.68241808359249</v>
      </c>
      <c r="C24" s="136">
        <f>'Real per person (Core)'!Y46</f>
        <v>300.8591990788629</v>
      </c>
      <c r="D24" s="136">
        <f>'Real per person (Core)'!Z46</f>
        <v>298.91870392064669</v>
      </c>
      <c r="E24" s="136">
        <f>'Real per person (Core)'!AD46</f>
        <v>316.75029834728252</v>
      </c>
      <c r="F24" s="136">
        <f t="shared" si="0"/>
        <v>-15.823219004729594</v>
      </c>
      <c r="G24" s="136">
        <f t="shared" si="1"/>
        <v>-1.9404951582162084</v>
      </c>
      <c r="H24" s="136">
        <f t="shared" si="2"/>
        <v>17.831594426635831</v>
      </c>
    </row>
    <row r="26" spans="1:16" x14ac:dyDescent="0.25">
      <c r="B26" s="121">
        <v>2009</v>
      </c>
      <c r="C26" s="121">
        <v>2016</v>
      </c>
      <c r="D26" s="121">
        <v>2021</v>
      </c>
      <c r="E26" s="121" t="s">
        <v>68</v>
      </c>
      <c r="F26" s="121" t="s">
        <v>70</v>
      </c>
    </row>
    <row r="27" spans="1:16" x14ac:dyDescent="0.25">
      <c r="A27" s="121" t="s">
        <v>71</v>
      </c>
      <c r="B27" s="131">
        <f>'Real per person (Core)'!R6</f>
        <v>1365.6124966284935</v>
      </c>
      <c r="C27" s="131">
        <f>'Real per person (Core)'!Y6</f>
        <v>870.44092280465293</v>
      </c>
      <c r="D27" s="131">
        <f>'Real per person (Core)'!AD6</f>
        <v>893.07993967567461</v>
      </c>
      <c r="E27" s="131">
        <f t="shared" ref="E27:E36" si="3">C27-B27</f>
        <v>-495.17157382384062</v>
      </c>
      <c r="F27" s="131">
        <f t="shared" ref="F27:F36" si="4">D27-C27</f>
        <v>22.639016871021681</v>
      </c>
    </row>
    <row r="28" spans="1:16" x14ac:dyDescent="0.25">
      <c r="A28" s="121" t="s">
        <v>27</v>
      </c>
      <c r="B28" s="131">
        <f>'Real per person (Core)'!R7</f>
        <v>453.31213991616522</v>
      </c>
      <c r="C28" s="131">
        <f>'Real per person (Core)'!Y7</f>
        <v>429.91548259439941</v>
      </c>
      <c r="D28" s="131">
        <f>'Real per person (Core)'!AD7</f>
        <v>470.58579988494859</v>
      </c>
      <c r="E28" s="131">
        <f t="shared" si="3"/>
        <v>-23.396657321765815</v>
      </c>
      <c r="F28" s="131">
        <f t="shared" si="4"/>
        <v>40.670317290549178</v>
      </c>
    </row>
    <row r="29" spans="1:16" x14ac:dyDescent="0.25">
      <c r="A29" s="121" t="s">
        <v>28</v>
      </c>
      <c r="B29" s="131">
        <f>'Real per person (Core)'!R8</f>
        <v>2955.4300300168879</v>
      </c>
      <c r="C29" s="131">
        <f>'Real per person (Core)'!Y8</f>
        <v>2792.116446188109</v>
      </c>
      <c r="D29" s="131">
        <f>'Real per person (Core)'!AD8</f>
        <v>2990.9450233414295</v>
      </c>
      <c r="E29" s="131">
        <f t="shared" si="3"/>
        <v>-163.31358382877897</v>
      </c>
      <c r="F29" s="131">
        <f t="shared" si="4"/>
        <v>198.82857715332057</v>
      </c>
    </row>
    <row r="30" spans="1:16" x14ac:dyDescent="0.25">
      <c r="A30" s="121" t="s">
        <v>29</v>
      </c>
      <c r="B30" s="131">
        <f>'Real per person (Core)'!R9</f>
        <v>626.69048825063487</v>
      </c>
      <c r="C30" s="131">
        <f>'Real per person (Core)'!Y9</f>
        <v>761.79495681830906</v>
      </c>
      <c r="D30" s="131">
        <f>'Real per person (Core)'!AD9</f>
        <v>624.83534670567758</v>
      </c>
      <c r="E30" s="131">
        <f t="shared" si="3"/>
        <v>135.10446856767419</v>
      </c>
      <c r="F30" s="131">
        <f t="shared" si="4"/>
        <v>-136.95961011263148</v>
      </c>
    </row>
    <row r="31" spans="1:16" x14ac:dyDescent="0.25">
      <c r="A31" s="121" t="s">
        <v>30</v>
      </c>
      <c r="B31" s="131">
        <f>'Real per person (Core)'!R10</f>
        <v>3190.9872205367856</v>
      </c>
      <c r="C31" s="131">
        <f>'Real per person (Core)'!Y10</f>
        <v>3315.8239541066564</v>
      </c>
      <c r="D31" s="131">
        <f>'Real per person (Core)'!AD10</f>
        <v>3420.5638535164849</v>
      </c>
      <c r="E31" s="131">
        <f t="shared" si="3"/>
        <v>124.83673356987083</v>
      </c>
      <c r="F31" s="131">
        <f t="shared" si="4"/>
        <v>104.73989940982847</v>
      </c>
    </row>
    <row r="32" spans="1:16" x14ac:dyDescent="0.25">
      <c r="A32" s="121" t="s">
        <v>31</v>
      </c>
      <c r="B32" s="131">
        <f>'Real per person (Core)'!R11</f>
        <v>796.97279465056033</v>
      </c>
      <c r="C32" s="131">
        <f>'Real per person (Core)'!Y11</f>
        <v>774.1025076526995</v>
      </c>
      <c r="D32" s="131">
        <f>'Real per person (Core)'!AD11</f>
        <v>838.04170645673094</v>
      </c>
      <c r="E32" s="131">
        <f t="shared" si="3"/>
        <v>-22.870286997860831</v>
      </c>
      <c r="F32" s="131">
        <f t="shared" si="4"/>
        <v>63.939198804031435</v>
      </c>
    </row>
    <row r="33" spans="1:6" x14ac:dyDescent="0.25">
      <c r="A33" s="121" t="s">
        <v>32</v>
      </c>
      <c r="B33" s="131">
        <f>'Real per person (Core)'!R12</f>
        <v>3002.644669518686</v>
      </c>
      <c r="C33" s="131">
        <f>'Real per person (Core)'!Y12</f>
        <v>2506.9207854739561</v>
      </c>
      <c r="D33" s="131">
        <f>'Real per person (Core)'!AD12</f>
        <v>2642.3695462881196</v>
      </c>
      <c r="E33" s="131">
        <f t="shared" si="3"/>
        <v>-495.72388404472986</v>
      </c>
      <c r="F33" s="131">
        <f t="shared" si="4"/>
        <v>135.44876081416351</v>
      </c>
    </row>
    <row r="34" spans="1:6" x14ac:dyDescent="0.25">
      <c r="A34" s="121" t="s">
        <v>33</v>
      </c>
      <c r="B34" s="131">
        <f>'Real per person (Core)'!R13</f>
        <v>1997.9790617591257</v>
      </c>
      <c r="C34" s="131">
        <f>'Real per person (Core)'!Y13</f>
        <v>2603.0470014735924</v>
      </c>
      <c r="D34" s="131">
        <f>'Real per person (Core)'!AD13</f>
        <v>2889.4181853647378</v>
      </c>
      <c r="E34" s="131">
        <f t="shared" si="3"/>
        <v>605.06793971446677</v>
      </c>
      <c r="F34" s="131">
        <f t="shared" si="4"/>
        <v>286.37118389114539</v>
      </c>
    </row>
    <row r="35" spans="1:6" x14ac:dyDescent="0.25">
      <c r="A35" s="121" t="s">
        <v>34</v>
      </c>
      <c r="B35" s="131">
        <f>'Real per person (Core)'!R14</f>
        <v>2123.1107566136166</v>
      </c>
      <c r="C35" s="131">
        <f>'Real per person (Core)'!Y14</f>
        <v>1633.5090745368643</v>
      </c>
      <c r="D35" s="131">
        <f>'Real per person (Core)'!AD14</f>
        <v>1746.4397304587133</v>
      </c>
      <c r="E35" s="131">
        <f t="shared" si="3"/>
        <v>-489.60168207675224</v>
      </c>
      <c r="F35" s="131">
        <f t="shared" si="4"/>
        <v>112.93065592184894</v>
      </c>
    </row>
    <row r="36" spans="1:6" x14ac:dyDescent="0.25">
      <c r="A36" s="121" t="s">
        <v>35</v>
      </c>
      <c r="B36" s="131">
        <f>'Real per person (Core)'!R15</f>
        <v>16512.739657890954</v>
      </c>
      <c r="C36" s="131">
        <f>'Real per person (Core)'!Y15</f>
        <v>15687.67113164924</v>
      </c>
      <c r="D36" s="131">
        <f>'Real per person (Core)'!AD15</f>
        <v>16516.279131692518</v>
      </c>
      <c r="E36" s="131">
        <f t="shared" si="3"/>
        <v>-825.0685262417137</v>
      </c>
      <c r="F36" s="131">
        <f t="shared" si="4"/>
        <v>828.60800004327757</v>
      </c>
    </row>
    <row r="38" spans="1:6" ht="27.95" customHeight="1" x14ac:dyDescent="0.25">
      <c r="A38" s="145" t="s">
        <v>72</v>
      </c>
      <c r="B38" s="145" t="s">
        <v>69</v>
      </c>
      <c r="C38" s="75" t="s">
        <v>148</v>
      </c>
      <c r="D38" s="75" t="s">
        <v>73</v>
      </c>
      <c r="E38" s="75" t="s">
        <v>149</v>
      </c>
    </row>
    <row r="39" spans="1:6" x14ac:dyDescent="0.25">
      <c r="A39" s="121" t="str">
        <f t="shared" ref="A39:A48" si="5">A3</f>
        <v>Core govt services</v>
      </c>
      <c r="B39" s="129">
        <f>+J3</f>
        <v>-7.1827803650260758E-2</v>
      </c>
      <c r="C39" s="129">
        <f>K3</f>
        <v>0.31246094706875005</v>
      </c>
      <c r="D39" s="129">
        <f>O3</f>
        <v>0</v>
      </c>
      <c r="E39" s="52">
        <f>'Real per person (Core)'!AD37/'Real per person (Core)'!Z37-1</f>
        <v>0.10540768308563853</v>
      </c>
    </row>
    <row r="40" spans="1:6" x14ac:dyDescent="0.25">
      <c r="A40" s="121" t="str">
        <f t="shared" si="5"/>
        <v>Defence</v>
      </c>
      <c r="B40" s="129">
        <f t="shared" ref="B40:B48" si="6">+J4</f>
        <v>1.9174237798380123E-2</v>
      </c>
      <c r="C40" s="129">
        <f t="shared" ref="C40:C48" si="7">K4</f>
        <v>2.3029646421801164E-2</v>
      </c>
      <c r="D40" s="129">
        <f t="shared" ref="D40:D48" si="8">O4</f>
        <v>0</v>
      </c>
      <c r="E40" s="52">
        <f>'Real per person (Core)'!AD38/'Real per person (Core)'!Z38-1</f>
        <v>7.4007452906734938E-2</v>
      </c>
    </row>
    <row r="41" spans="1:6" x14ac:dyDescent="0.25">
      <c r="A41" s="121" t="str">
        <f t="shared" si="5"/>
        <v>Education</v>
      </c>
      <c r="B41" s="129">
        <f t="shared" si="6"/>
        <v>-2.8821509238927678E-2</v>
      </c>
      <c r="C41" s="129">
        <f t="shared" si="7"/>
        <v>2.5185692029759732E-2</v>
      </c>
      <c r="D41" s="129">
        <f t="shared" si="8"/>
        <v>0</v>
      </c>
      <c r="E41" s="52">
        <f>'Real per person (Core)'!AD39/'Real per person (Core)'!Z39-1</f>
        <v>0.10300085305122875</v>
      </c>
    </row>
    <row r="42" spans="1:6" x14ac:dyDescent="0.25">
      <c r="A42" s="121" t="str">
        <f t="shared" si="5"/>
        <v>Finance costs</v>
      </c>
      <c r="B42" s="129">
        <f t="shared" si="6"/>
        <v>-5.2824933292383691E-2</v>
      </c>
      <c r="C42" s="129">
        <f t="shared" si="7"/>
        <v>-3.6478665733439719E-2</v>
      </c>
      <c r="D42" s="129">
        <f t="shared" si="8"/>
        <v>0</v>
      </c>
      <c r="E42" s="52">
        <f>'Real per person (Core)'!AD40/'Real per person (Core)'!Z40-1</f>
        <v>-0.13404118200163972</v>
      </c>
    </row>
    <row r="43" spans="1:6" x14ac:dyDescent="0.25">
      <c r="A43" s="121" t="str">
        <f t="shared" si="5"/>
        <v>Health</v>
      </c>
      <c r="B43" s="129">
        <f t="shared" si="6"/>
        <v>-1.0551578265108885E-3</v>
      </c>
      <c r="C43" s="129">
        <f t="shared" si="7"/>
        <v>2.321347042553823E-3</v>
      </c>
      <c r="D43" s="129">
        <f t="shared" si="8"/>
        <v>0</v>
      </c>
      <c r="E43" s="52">
        <f>'Real per person (Core)'!AD41/'Real per person (Core)'!Z41-1</f>
        <v>3.2677532934651143E-2</v>
      </c>
    </row>
    <row r="44" spans="1:6" x14ac:dyDescent="0.25">
      <c r="A44" s="121" t="str">
        <f t="shared" si="5"/>
        <v>Law and order</v>
      </c>
      <c r="B44" s="129">
        <f t="shared" si="6"/>
        <v>2.3903109778403486E-2</v>
      </c>
      <c r="C44" s="129">
        <f t="shared" si="7"/>
        <v>1.1478003710681861E-2</v>
      </c>
      <c r="D44" s="129">
        <f t="shared" si="8"/>
        <v>0</v>
      </c>
      <c r="E44" s="52">
        <f>'Real per person (Core)'!AD42/'Real per person (Core)'!Z42-1</f>
        <v>5.7324501199230715E-2</v>
      </c>
    </row>
    <row r="45" spans="1:6" x14ac:dyDescent="0.25">
      <c r="A45" s="121" t="str">
        <f t="shared" si="5"/>
        <v>Welfare</v>
      </c>
      <c r="B45" s="129">
        <f t="shared" si="6"/>
        <v>-2.2247339270944355E-3</v>
      </c>
      <c r="C45" s="129">
        <f t="shared" si="7"/>
        <v>-1.1730484652103801E-2</v>
      </c>
      <c r="D45" s="129">
        <f t="shared" si="8"/>
        <v>0</v>
      </c>
      <c r="E45" s="52">
        <f>'Real per person (Core)'!AD43/'Real per person (Core)'!Z43-1</f>
        <v>5.6380097138884366E-2</v>
      </c>
    </row>
    <row r="46" spans="1:6" x14ac:dyDescent="0.25">
      <c r="A46" s="121" t="str">
        <f t="shared" si="5"/>
        <v>NZ super</v>
      </c>
      <c r="B46" s="129">
        <f t="shared" si="6"/>
        <v>2.3051012774947033E-2</v>
      </c>
      <c r="C46" s="129">
        <f t="shared" si="7"/>
        <v>1.5876118442448517E-2</v>
      </c>
      <c r="D46" s="129">
        <f t="shared" si="8"/>
        <v>0</v>
      </c>
      <c r="E46" s="52">
        <f>'Real per person (Core)'!AD44/'Real per person (Core)'!Z44-1</f>
        <v>8.5003407806225839E-2</v>
      </c>
    </row>
    <row r="47" spans="1:6" x14ac:dyDescent="0.25">
      <c r="A47" s="121" t="str">
        <f t="shared" si="5"/>
        <v>All other</v>
      </c>
      <c r="B47" s="129">
        <f t="shared" si="6"/>
        <v>2.6812909831754883E-3</v>
      </c>
      <c r="C47" s="129">
        <f t="shared" si="7"/>
        <v>0.14568974021327041</v>
      </c>
      <c r="D47" s="129">
        <f t="shared" si="8"/>
        <v>0</v>
      </c>
      <c r="E47" s="52">
        <f>'Real per person (Core)'!AD45/'Real per person (Core)'!Z45-1</f>
        <v>6.6274786377613637E-2</v>
      </c>
    </row>
    <row r="48" spans="1:6" x14ac:dyDescent="0.25">
      <c r="A48" s="121" t="str">
        <f t="shared" si="5"/>
        <v>Total core Crown expenses excluding losses</v>
      </c>
      <c r="B48" s="129">
        <f t="shared" si="6"/>
        <v>-6.4498448581842283E-3</v>
      </c>
      <c r="C48" s="129">
        <f t="shared" si="7"/>
        <v>3.6753260125971021E-2</v>
      </c>
      <c r="D48" s="129">
        <f t="shared" si="8"/>
        <v>0</v>
      </c>
      <c r="E48" s="52">
        <f>'Real per person (Core)'!AD46/'Real per person (Core)'!Z46-1</f>
        <v>5.9653658980702406E-2</v>
      </c>
    </row>
  </sheetData>
  <mergeCells count="2">
    <mergeCell ref="B1:N1"/>
    <mergeCell ref="P1:P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workbookViewId="0">
      <selection activeCell="AF6" sqref="AF6"/>
    </sheetView>
  </sheetViews>
  <sheetFormatPr defaultRowHeight="15" x14ac:dyDescent="0.25"/>
  <sheetData>
    <row r="1" spans="1:32" x14ac:dyDescent="0.25">
      <c r="A1" s="121" t="s">
        <v>74</v>
      </c>
      <c r="B1" s="121"/>
      <c r="C1" s="121"/>
      <c r="D1" s="121"/>
      <c r="E1" s="121"/>
      <c r="F1" s="121"/>
      <c r="G1" s="121"/>
      <c r="H1" s="121"/>
      <c r="I1" s="121"/>
      <c r="J1" s="121"/>
      <c r="K1" s="121"/>
      <c r="L1" s="121"/>
      <c r="M1" s="121"/>
      <c r="N1" s="121"/>
      <c r="O1" s="121"/>
      <c r="P1" s="121"/>
      <c r="Q1" s="121"/>
      <c r="R1" s="121"/>
    </row>
    <row r="2" spans="1:32" x14ac:dyDescent="0.25">
      <c r="A2" s="121"/>
      <c r="B2" s="121">
        <v>1999</v>
      </c>
      <c r="C2" s="121">
        <v>2000</v>
      </c>
      <c r="D2" s="121">
        <v>2001</v>
      </c>
      <c r="E2" s="121">
        <v>2002</v>
      </c>
      <c r="F2" s="121">
        <v>2003</v>
      </c>
      <c r="G2" s="121">
        <v>2004</v>
      </c>
      <c r="H2" s="121">
        <v>2005</v>
      </c>
      <c r="I2" s="121">
        <v>2006</v>
      </c>
      <c r="J2" s="121">
        <v>2007</v>
      </c>
      <c r="K2" s="121">
        <v>2008</v>
      </c>
      <c r="L2" s="121">
        <v>2009</v>
      </c>
      <c r="M2" s="121">
        <v>2010</v>
      </c>
      <c r="N2" s="121">
        <v>2011</v>
      </c>
      <c r="O2" s="121">
        <v>2012</v>
      </c>
      <c r="P2" s="121">
        <v>2013</v>
      </c>
      <c r="Q2" s="121">
        <v>2014</v>
      </c>
      <c r="R2" s="121">
        <v>2015</v>
      </c>
      <c r="S2">
        <v>2016</v>
      </c>
      <c r="T2">
        <f>+S2+1</f>
        <v>2017</v>
      </c>
      <c r="U2" s="164">
        <f t="shared" ref="U2:X2" si="0">+T2+1</f>
        <v>2018</v>
      </c>
      <c r="V2" s="164">
        <f t="shared" si="0"/>
        <v>2019</v>
      </c>
      <c r="W2" s="164">
        <f t="shared" si="0"/>
        <v>2020</v>
      </c>
      <c r="X2" s="164">
        <f t="shared" si="0"/>
        <v>2021</v>
      </c>
      <c r="Y2" s="164">
        <f>+X2+1</f>
        <v>2022</v>
      </c>
      <c r="AF2" s="164"/>
    </row>
    <row r="3" spans="1:32" x14ac:dyDescent="0.25">
      <c r="A3" t="s">
        <v>170</v>
      </c>
      <c r="B3" s="121">
        <v>32156</v>
      </c>
      <c r="C3" s="121">
        <v>34035</v>
      </c>
      <c r="D3" s="121">
        <v>36736</v>
      </c>
      <c r="E3" s="121">
        <v>36215</v>
      </c>
      <c r="F3" s="121">
        <v>39785</v>
      </c>
      <c r="G3" s="121">
        <v>42532</v>
      </c>
      <c r="H3" s="121">
        <v>46624</v>
      </c>
      <c r="I3" s="121">
        <v>52311</v>
      </c>
      <c r="J3" s="121">
        <v>52938</v>
      </c>
      <c r="K3" s="121">
        <v>56372</v>
      </c>
      <c r="L3" s="121">
        <v>54145</v>
      </c>
      <c r="M3" s="121">
        <v>50347</v>
      </c>
      <c r="N3" s="121">
        <v>51128</v>
      </c>
      <c r="O3" s="121">
        <v>54665</v>
      </c>
      <c r="P3" s="121">
        <v>58134</v>
      </c>
      <c r="Q3" s="121">
        <v>60879</v>
      </c>
      <c r="R3" s="121">
        <v>66055</v>
      </c>
      <c r="S3">
        <f>INDEX('From Fiscal forecasts'!$E:$L,MATCH($A3,'From Fiscal forecasts'!$B:$B,0),MATCH('Total crown'!S$2,'From Fiscal forecasts'!$E$7:$L$7,0))*1000</f>
        <v>69668</v>
      </c>
      <c r="T3" s="164">
        <f>INDEX('From Fiscal forecasts'!$E:$L,MATCH($A3,'From Fiscal forecasts'!$B:$B,0),MATCH('Total crown'!T$2,'From Fiscal forecasts'!$E$7:$L$7,0))*1000</f>
        <v>74973</v>
      </c>
      <c r="U3" s="164">
        <f>INDEX('From Fiscal forecasts'!$E:$L,MATCH($A3,'From Fiscal forecasts'!$B:$B,0),MATCH('Total crown'!U$2,'From Fiscal forecasts'!$E$7:$L$7,0))*1000</f>
        <v>77468</v>
      </c>
      <c r="V3" s="164">
        <f>INDEX('From Fiscal forecasts'!$E:$L,MATCH($A3,'From Fiscal forecasts'!$B:$B,0),MATCH('Total crown'!V$2,'From Fiscal forecasts'!$E$7:$L$7,0))*1000</f>
        <v>82055</v>
      </c>
      <c r="W3" s="164">
        <f>INDEX('From Fiscal forecasts'!$E:$L,MATCH($A3,'From Fiscal forecasts'!$B:$B,0),MATCH('Total crown'!W$2,'From Fiscal forecasts'!$E$7:$L$7,0))*1000</f>
        <v>87022</v>
      </c>
      <c r="X3" s="164">
        <f>INDEX('From Fiscal forecasts'!$E:$L,MATCH($A3,'From Fiscal forecasts'!$B:$B,0),MATCH('Total crown'!X$2,'From Fiscal forecasts'!$E$7:$L$7,0))*1000</f>
        <v>92129</v>
      </c>
      <c r="Y3" s="164">
        <f>INDEX('From Fiscal forecasts'!$E:$L,MATCH($A3,'From Fiscal forecasts'!$B:$B,0),MATCH('Total crown'!Y$2,'From Fiscal forecasts'!$E$7:$L$7,0))*1000</f>
        <v>96980</v>
      </c>
    </row>
    <row r="4" spans="1:32" x14ac:dyDescent="0.25">
      <c r="A4" s="121" t="s">
        <v>76</v>
      </c>
      <c r="B4" s="110">
        <f t="shared" ref="B4:Y4" si="1">+B5-B3</f>
        <v>7809.5714285714275</v>
      </c>
      <c r="C4" s="110">
        <f t="shared" si="1"/>
        <v>7576.5263157894733</v>
      </c>
      <c r="D4" s="110">
        <f t="shared" si="1"/>
        <v>8364.5488721804504</v>
      </c>
      <c r="E4" s="110">
        <f t="shared" si="1"/>
        <v>13732.660744360903</v>
      </c>
      <c r="F4" s="110">
        <f t="shared" si="1"/>
        <v>16825.514706766917</v>
      </c>
      <c r="G4" s="110">
        <f t="shared" si="1"/>
        <v>16738.882706766919</v>
      </c>
      <c r="H4" s="110">
        <f t="shared" si="1"/>
        <v>18507</v>
      </c>
      <c r="I4" s="110">
        <f t="shared" si="1"/>
        <v>18878</v>
      </c>
      <c r="J4" s="121">
        <f t="shared" si="1"/>
        <v>21411</v>
      </c>
      <c r="K4" s="121">
        <f t="shared" si="1"/>
        <v>24863</v>
      </c>
      <c r="L4" s="121">
        <f t="shared" si="1"/>
        <v>25070</v>
      </c>
      <c r="M4" s="121">
        <f t="shared" si="1"/>
        <v>23919</v>
      </c>
      <c r="N4" s="121">
        <f t="shared" si="1"/>
        <v>30084</v>
      </c>
      <c r="O4" s="121">
        <f t="shared" si="1"/>
        <v>28681</v>
      </c>
      <c r="P4" s="121">
        <f t="shared" si="1"/>
        <v>28177</v>
      </c>
      <c r="Q4" s="121">
        <f t="shared" si="1"/>
        <v>28320</v>
      </c>
      <c r="R4" s="121">
        <f t="shared" si="1"/>
        <v>28958</v>
      </c>
      <c r="S4" s="164">
        <f t="shared" si="1"/>
        <v>28491</v>
      </c>
      <c r="T4" s="164">
        <f t="shared" si="1"/>
        <v>29253.999999999985</v>
      </c>
      <c r="U4" s="164">
        <f t="shared" si="1"/>
        <v>30716</v>
      </c>
      <c r="V4" s="164">
        <f t="shared" si="1"/>
        <v>31834.000000000015</v>
      </c>
      <c r="W4" s="164">
        <f t="shared" si="1"/>
        <v>33255.000000000015</v>
      </c>
      <c r="X4" s="164">
        <f t="shared" si="1"/>
        <v>34128</v>
      </c>
      <c r="Y4" s="164">
        <f t="shared" si="1"/>
        <v>35085</v>
      </c>
    </row>
    <row r="5" spans="1:32" x14ac:dyDescent="0.25">
      <c r="A5" t="s">
        <v>176</v>
      </c>
      <c r="B5" s="110">
        <v>39965.571428571428</v>
      </c>
      <c r="C5" s="110">
        <v>41611.526315789473</v>
      </c>
      <c r="D5" s="110">
        <v>45100.54887218045</v>
      </c>
      <c r="E5" s="110">
        <v>49947.660744360903</v>
      </c>
      <c r="F5" s="110">
        <v>56610.514706766917</v>
      </c>
      <c r="G5" s="110">
        <v>59270.882706766919</v>
      </c>
      <c r="H5" s="110">
        <v>65131</v>
      </c>
      <c r="I5" s="110">
        <v>71189</v>
      </c>
      <c r="J5" s="121">
        <v>74349</v>
      </c>
      <c r="K5" s="121">
        <v>81235</v>
      </c>
      <c r="L5" s="121">
        <v>79215</v>
      </c>
      <c r="M5" s="121">
        <v>74266</v>
      </c>
      <c r="N5" s="121">
        <v>81212</v>
      </c>
      <c r="O5" s="121">
        <v>83346</v>
      </c>
      <c r="P5" s="121">
        <v>86311</v>
      </c>
      <c r="Q5" s="121">
        <v>89199</v>
      </c>
      <c r="R5" s="121">
        <v>95013</v>
      </c>
      <c r="S5" s="164">
        <f>INDEX('From Fiscal forecasts'!$E:$L,MATCH($A5,'From Fiscal forecasts'!$B:$B,0),MATCH('Total crown'!S$2,'From Fiscal forecasts'!$E$7:$L$7,0))*1000</f>
        <v>98159</v>
      </c>
      <c r="T5" s="164">
        <f>INDEX('From Fiscal forecasts'!$E:$L,MATCH($A5,'From Fiscal forecasts'!$B:$B,0),MATCH('Total crown'!T$2,'From Fiscal forecasts'!$E$7:$L$7,0))*1000</f>
        <v>104226.99999999999</v>
      </c>
      <c r="U5" s="164">
        <f>INDEX('From Fiscal forecasts'!$E:$L,MATCH($A5,'From Fiscal forecasts'!$B:$B,0),MATCH('Total crown'!U$2,'From Fiscal forecasts'!$E$7:$L$7,0))*1000</f>
        <v>108184</v>
      </c>
      <c r="V5" s="164">
        <f>INDEX('From Fiscal forecasts'!$E:$L,MATCH($A5,'From Fiscal forecasts'!$B:$B,0),MATCH('Total crown'!V$2,'From Fiscal forecasts'!$E$7:$L$7,0))*1000</f>
        <v>113889.00000000001</v>
      </c>
      <c r="W5" s="164">
        <f>INDEX('From Fiscal forecasts'!$E:$L,MATCH($A5,'From Fiscal forecasts'!$B:$B,0),MATCH('Total crown'!W$2,'From Fiscal forecasts'!$E$7:$L$7,0))*1000</f>
        <v>120277.00000000001</v>
      </c>
      <c r="X5" s="164">
        <f>INDEX('From Fiscal forecasts'!$E:$L,MATCH($A5,'From Fiscal forecasts'!$B:$B,0),MATCH('Total crown'!X$2,'From Fiscal forecasts'!$E$7:$L$7,0))*1000</f>
        <v>126257</v>
      </c>
      <c r="Y5" s="164">
        <f>INDEX('From Fiscal forecasts'!$E:$L,MATCH($A5,'From Fiscal forecasts'!$B:$B,0),MATCH('Total crown'!Y$2,'From Fiscal forecasts'!$E$7:$L$7,0))*1000</f>
        <v>132065</v>
      </c>
      <c r="AF5" s="164"/>
    </row>
    <row r="6" spans="1:32" x14ac:dyDescent="0.25">
      <c r="A6" s="164" t="s">
        <v>185</v>
      </c>
      <c r="B6" s="121">
        <v>39837.571428571428</v>
      </c>
      <c r="C6" s="121">
        <v>41017.946315789472</v>
      </c>
      <c r="D6" s="121">
        <v>43679.018872180452</v>
      </c>
      <c r="E6" s="121">
        <v>47476.445504360898</v>
      </c>
      <c r="F6" s="121">
        <v>52244.611716766907</v>
      </c>
      <c r="G6" s="121">
        <v>53697.765056766912</v>
      </c>
      <c r="H6" s="121">
        <v>58057</v>
      </c>
      <c r="I6" s="121">
        <v>64098</v>
      </c>
      <c r="J6" s="121">
        <v>68489</v>
      </c>
      <c r="K6" s="121">
        <v>75598</v>
      </c>
      <c r="L6" s="121">
        <v>83108</v>
      </c>
      <c r="M6" s="121">
        <v>80581</v>
      </c>
      <c r="N6" s="121">
        <v>99608</v>
      </c>
      <c r="O6" s="121">
        <v>92586</v>
      </c>
      <c r="P6" s="121">
        <v>90663</v>
      </c>
      <c r="Q6" s="121">
        <v>91842</v>
      </c>
      <c r="R6" s="121">
        <v>94272</v>
      </c>
      <c r="S6" s="164">
        <f>INDEX('From Fiscal forecasts'!$E:$L,MATCH($A6,'From Fiscal forecasts'!$B:$B,0),MATCH('Total crown'!S$2,'From Fiscal forecasts'!$E$7:$L$7,0))*1000</f>
        <v>95880</v>
      </c>
      <c r="T6" s="164">
        <f>INDEX('From Fiscal forecasts'!$E:$L,MATCH($A6,'From Fiscal forecasts'!$B:$B,0),MATCH('Total crown'!T$2,'From Fiscal forecasts'!$E$7:$L$7,0))*1000</f>
        <v>99812.000000000015</v>
      </c>
      <c r="U6" s="164">
        <f>INDEX('From Fiscal forecasts'!$E:$L,MATCH($A6,'From Fiscal forecasts'!$B:$B,0),MATCH('Total crown'!U$2,'From Fiscal forecasts'!$E$7:$L$7,0))*1000</f>
        <v>105225</v>
      </c>
      <c r="V6" s="164">
        <f>INDEX('From Fiscal forecasts'!$E:$L,MATCH($A6,'From Fiscal forecasts'!$B:$B,0),MATCH('Total crown'!V$2,'From Fiscal forecasts'!$E$7:$L$7,0))*1000</f>
        <v>110634</v>
      </c>
      <c r="W6" s="164">
        <f>INDEX('From Fiscal forecasts'!$E:$L,MATCH($A6,'From Fiscal forecasts'!$B:$B,0),MATCH('Total crown'!W$2,'From Fiscal forecasts'!$E$7:$L$7,0))*1000</f>
        <v>114820.99999999999</v>
      </c>
      <c r="X6" s="164">
        <f>INDEX('From Fiscal forecasts'!$E:$L,MATCH($A6,'From Fiscal forecasts'!$B:$B,0),MATCH('Total crown'!X$2,'From Fiscal forecasts'!$E$7:$L$7,0))*1000</f>
        <v>119267</v>
      </c>
      <c r="Y6" s="164">
        <f>INDEX('From Fiscal forecasts'!$E:$L,MATCH($A6,'From Fiscal forecasts'!$B:$B,0),MATCH('Total crown'!Y$2,'From Fiscal forecasts'!$E$7:$L$7,0))*1000</f>
        <v>122766</v>
      </c>
      <c r="AF6" s="164"/>
    </row>
    <row r="7" spans="1:32" x14ac:dyDescent="0.25">
      <c r="A7" s="164" t="s">
        <v>187</v>
      </c>
      <c r="B7" s="110">
        <f>+B5-B6</f>
        <v>128</v>
      </c>
      <c r="C7" s="110">
        <f t="shared" ref="C7:O7" si="2">+C5-C6</f>
        <v>593.58000000000175</v>
      </c>
      <c r="D7" s="110">
        <f t="shared" si="2"/>
        <v>1421.5299999999988</v>
      </c>
      <c r="E7" s="110">
        <f t="shared" si="2"/>
        <v>2471.215240000005</v>
      </c>
      <c r="F7" s="110">
        <f t="shared" si="2"/>
        <v>4365.9029900000096</v>
      </c>
      <c r="G7" s="110">
        <f t="shared" si="2"/>
        <v>5573.1176500000074</v>
      </c>
      <c r="H7" s="110">
        <f t="shared" si="2"/>
        <v>7074</v>
      </c>
      <c r="I7" s="110">
        <f t="shared" si="2"/>
        <v>7091</v>
      </c>
      <c r="J7" s="110">
        <f t="shared" si="2"/>
        <v>5860</v>
      </c>
      <c r="K7" s="110">
        <f t="shared" si="2"/>
        <v>5637</v>
      </c>
      <c r="L7" s="110">
        <f t="shared" si="2"/>
        <v>-3893</v>
      </c>
      <c r="M7" s="110">
        <f t="shared" si="2"/>
        <v>-6315</v>
      </c>
      <c r="N7" s="110">
        <f t="shared" si="2"/>
        <v>-18396</v>
      </c>
      <c r="O7" s="110">
        <f t="shared" si="2"/>
        <v>-9240</v>
      </c>
      <c r="P7" s="110">
        <v>-4414.0000000000045</v>
      </c>
      <c r="Q7" s="110">
        <v>-2933.0000000000291</v>
      </c>
      <c r="R7" s="110">
        <v>414.00000000001387</v>
      </c>
      <c r="S7" s="164">
        <f>INDEX('From Fiscal forecasts'!$E:$L,MATCH($A7,'From Fiscal forecasts'!$B:$B,0),MATCH('Total crown'!S$2,'From Fiscal forecasts'!$E$7:$L$7,0))*1000</f>
        <v>1831.0000000000107</v>
      </c>
      <c r="T7" s="164">
        <f>INDEX('From Fiscal forecasts'!$E:$L,MATCH($A7,'From Fiscal forecasts'!$B:$B,0),MATCH('Total crown'!T$2,'From Fiscal forecasts'!$E$7:$L$7,0))*1000</f>
        <v>4068.9999999999777</v>
      </c>
      <c r="U7" s="164">
        <f>INDEX('From Fiscal forecasts'!$E:$L,MATCH($A7,'From Fiscal forecasts'!$B:$B,0),MATCH('Total crown'!U$2,'From Fiscal forecasts'!$E$7:$L$7,0))*1000</f>
        <v>2541.0000000000032</v>
      </c>
      <c r="V7" s="164">
        <f>INDEX('From Fiscal forecasts'!$E:$L,MATCH($A7,'From Fiscal forecasts'!$B:$B,0),MATCH('Total crown'!V$2,'From Fiscal forecasts'!$E$7:$L$7,0))*1000</f>
        <v>2828.0000000000095</v>
      </c>
      <c r="W7" s="164">
        <f>INDEX('From Fiscal forecasts'!$E:$L,MATCH($A7,'From Fiscal forecasts'!$B:$B,0),MATCH('Total crown'!W$2,'From Fiscal forecasts'!$E$7:$L$7,0))*1000</f>
        <v>4979.0000000000309</v>
      </c>
      <c r="X7" s="164">
        <f>INDEX('From Fiscal forecasts'!$E:$L,MATCH($A7,'From Fiscal forecasts'!$B:$B,0),MATCH('Total crown'!X$2,'From Fiscal forecasts'!$E$7:$L$7,0))*1000</f>
        <v>6504.0000000000091</v>
      </c>
      <c r="Y7" s="164">
        <f>INDEX('From Fiscal forecasts'!$E:$L,MATCH($A7,'From Fiscal forecasts'!$B:$B,0),MATCH('Total crown'!Y$2,'From Fiscal forecasts'!$E$7:$L$7,0))*1000</f>
        <v>8792.9999999999927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opLeftCell="A7" workbookViewId="0">
      <selection activeCell="P46" sqref="P46"/>
    </sheetView>
  </sheetViews>
  <sheetFormatPr defaultColWidth="9.140625" defaultRowHeight="15" x14ac:dyDescent="0.25"/>
  <cols>
    <col min="1" max="1" width="42.28515625" style="82" customWidth="1"/>
    <col min="2" max="5" width="9.140625" style="82"/>
    <col min="6" max="8" width="10.5703125" style="82" customWidth="1"/>
    <col min="9" max="10" width="10.7109375" style="82" customWidth="1"/>
    <col min="11" max="22" width="10.5703125" style="82" customWidth="1"/>
    <col min="23" max="23" width="10.7109375" style="82" customWidth="1"/>
    <col min="24" max="24" width="10.5703125" style="82" customWidth="1"/>
    <col min="25" max="16384" width="9.140625" style="82"/>
  </cols>
  <sheetData>
    <row r="1" spans="1:25" x14ac:dyDescent="0.25">
      <c r="A1" s="82" t="s">
        <v>50</v>
      </c>
      <c r="B1" s="83"/>
      <c r="C1" s="83"/>
      <c r="D1" s="83"/>
      <c r="E1" s="83"/>
      <c r="F1" s="83"/>
      <c r="G1" s="83"/>
      <c r="H1" s="83"/>
      <c r="I1" s="83"/>
      <c r="J1" s="83"/>
      <c r="K1" s="83"/>
      <c r="L1" s="83"/>
      <c r="M1" s="83"/>
      <c r="N1" s="83"/>
      <c r="O1" s="83"/>
      <c r="P1" s="83"/>
      <c r="Q1" s="83"/>
      <c r="R1" s="83"/>
      <c r="S1" s="83"/>
      <c r="T1" s="83"/>
      <c r="U1" s="83"/>
      <c r="V1" s="83"/>
      <c r="W1" s="83"/>
      <c r="X1" s="83"/>
      <c r="Y1" s="83"/>
    </row>
    <row r="2" spans="1:25" s="87" customFormat="1" x14ac:dyDescent="0.25">
      <c r="A2" s="193" t="s">
        <v>74</v>
      </c>
      <c r="B2" s="84">
        <v>36312</v>
      </c>
      <c r="C2" s="85">
        <v>36678</v>
      </c>
      <c r="D2" s="85">
        <v>37043</v>
      </c>
      <c r="E2" s="85">
        <v>37408</v>
      </c>
      <c r="F2" s="85">
        <v>37773</v>
      </c>
      <c r="G2" s="85">
        <v>38139</v>
      </c>
      <c r="H2" s="85">
        <v>38504</v>
      </c>
      <c r="I2" s="85">
        <v>38869</v>
      </c>
      <c r="J2" s="85">
        <v>39234</v>
      </c>
      <c r="K2" s="85">
        <v>39600</v>
      </c>
      <c r="L2" s="85">
        <v>39965</v>
      </c>
      <c r="M2" s="85">
        <v>40330</v>
      </c>
      <c r="N2" s="85">
        <v>40695</v>
      </c>
      <c r="O2" s="85">
        <v>41061</v>
      </c>
      <c r="P2" s="85">
        <v>41426</v>
      </c>
      <c r="Q2" s="85">
        <v>41791</v>
      </c>
      <c r="R2" s="85">
        <v>42156</v>
      </c>
      <c r="S2" s="85">
        <v>42522</v>
      </c>
      <c r="T2" s="85">
        <f t="shared" ref="T2:Y2" si="0">EDATE(S2,12)</f>
        <v>42887</v>
      </c>
      <c r="U2" s="85">
        <f t="shared" si="0"/>
        <v>43252</v>
      </c>
      <c r="V2" s="85">
        <f t="shared" si="0"/>
        <v>43617</v>
      </c>
      <c r="W2" s="85">
        <f t="shared" si="0"/>
        <v>43983</v>
      </c>
      <c r="X2" s="85">
        <f t="shared" si="0"/>
        <v>44348</v>
      </c>
      <c r="Y2" s="85">
        <f t="shared" si="0"/>
        <v>44713</v>
      </c>
    </row>
    <row r="3" spans="1:25" x14ac:dyDescent="0.25">
      <c r="A3" s="194"/>
      <c r="B3" s="88" t="s">
        <v>24</v>
      </c>
      <c r="C3" s="89" t="s">
        <v>24</v>
      </c>
      <c r="D3" s="89" t="s">
        <v>24</v>
      </c>
      <c r="E3" s="89" t="s">
        <v>24</v>
      </c>
      <c r="F3" s="89" t="s">
        <v>24</v>
      </c>
      <c r="G3" s="89" t="s">
        <v>24</v>
      </c>
      <c r="H3" s="89" t="s">
        <v>24</v>
      </c>
      <c r="I3" s="89" t="s">
        <v>24</v>
      </c>
      <c r="J3" s="89" t="s">
        <v>24</v>
      </c>
      <c r="K3" s="89" t="s">
        <v>24</v>
      </c>
      <c r="L3" s="89" t="s">
        <v>24</v>
      </c>
      <c r="M3" s="89" t="s">
        <v>24</v>
      </c>
      <c r="N3" s="89" t="s">
        <v>24</v>
      </c>
      <c r="O3" s="89" t="s">
        <v>24</v>
      </c>
      <c r="P3" s="89" t="s">
        <v>24</v>
      </c>
      <c r="Q3" s="90" t="s">
        <v>24</v>
      </c>
      <c r="R3" s="90" t="s">
        <v>24</v>
      </c>
      <c r="S3" s="90" t="s">
        <v>24</v>
      </c>
      <c r="T3" s="90" t="s">
        <v>24</v>
      </c>
      <c r="U3" s="90" t="s">
        <v>24</v>
      </c>
      <c r="V3" s="90" t="s">
        <v>24</v>
      </c>
      <c r="W3" s="90" t="s">
        <v>24</v>
      </c>
      <c r="X3" s="90" t="s">
        <v>24</v>
      </c>
      <c r="Y3" s="90" t="s">
        <v>24</v>
      </c>
    </row>
    <row r="4" spans="1:25" x14ac:dyDescent="0.25">
      <c r="A4" s="194"/>
      <c r="B4" s="88" t="s">
        <v>51</v>
      </c>
      <c r="C4" s="88" t="s">
        <v>51</v>
      </c>
      <c r="D4" s="88" t="s">
        <v>51</v>
      </c>
      <c r="E4" s="88" t="s">
        <v>51</v>
      </c>
      <c r="F4" s="88" t="s">
        <v>51</v>
      </c>
      <c r="G4" s="88" t="s">
        <v>51</v>
      </c>
      <c r="H4" s="88" t="s">
        <v>51</v>
      </c>
      <c r="I4" s="88" t="s">
        <v>51</v>
      </c>
      <c r="J4" s="88" t="s">
        <v>51</v>
      </c>
      <c r="K4" s="88" t="s">
        <v>51</v>
      </c>
      <c r="L4" s="88" t="s">
        <v>51</v>
      </c>
      <c r="M4" s="88" t="s">
        <v>51</v>
      </c>
      <c r="N4" s="88" t="s">
        <v>51</v>
      </c>
      <c r="O4" s="88" t="s">
        <v>51</v>
      </c>
      <c r="P4" s="88" t="s">
        <v>51</v>
      </c>
      <c r="Q4" s="88" t="s">
        <v>51</v>
      </c>
      <c r="R4" s="88" t="s">
        <v>51</v>
      </c>
      <c r="S4" s="88" t="s">
        <v>51</v>
      </c>
      <c r="T4" s="88" t="s">
        <v>51</v>
      </c>
      <c r="U4" s="88" t="s">
        <v>51</v>
      </c>
      <c r="V4" s="88" t="s">
        <v>51</v>
      </c>
      <c r="W4" s="88" t="s">
        <v>51</v>
      </c>
      <c r="X4" s="88" t="s">
        <v>51</v>
      </c>
      <c r="Y4" s="88" t="s">
        <v>51</v>
      </c>
    </row>
    <row r="5" spans="1:25" s="94" customFormat="1" ht="15.75" customHeight="1" x14ac:dyDescent="0.25">
      <c r="A5" s="91"/>
      <c r="B5" s="92"/>
      <c r="C5" s="93"/>
      <c r="D5" s="93"/>
      <c r="E5" s="93"/>
      <c r="F5" s="93"/>
      <c r="G5" s="93"/>
      <c r="H5" s="93"/>
      <c r="I5" s="93"/>
      <c r="J5" s="93"/>
      <c r="K5" s="93"/>
      <c r="L5" s="93"/>
      <c r="M5" s="93"/>
      <c r="N5" s="93"/>
      <c r="O5" s="93"/>
      <c r="P5" s="93"/>
      <c r="Q5" s="93"/>
      <c r="R5" s="93"/>
      <c r="S5" s="93"/>
      <c r="T5" s="93"/>
      <c r="U5" s="93"/>
      <c r="V5" s="93"/>
      <c r="W5" s="93"/>
      <c r="X5" s="93"/>
      <c r="Y5" s="93"/>
    </row>
    <row r="6" spans="1:25" s="97" customFormat="1" x14ac:dyDescent="0.25">
      <c r="A6" s="95" t="str">
        <f>+'Total crown'!A3</f>
        <v>Taxation revenue</v>
      </c>
      <c r="B6" s="96">
        <f>IFERROR('Total crown'!B3*1000000/Population!J$2,0)</f>
        <v>8384.6575056712991</v>
      </c>
      <c r="C6" s="96">
        <f>IFERROR('Total crown'!C3*1000000/Population!K$2,0)</f>
        <v>8822.6145112372651</v>
      </c>
      <c r="D6" s="96">
        <f>IFERROR('Total crown'!D3*1000000/Population!L$2,0)</f>
        <v>9466.8212859167634</v>
      </c>
      <c r="E6" s="96">
        <f>IFERROR('Total crown'!E3*1000000/Population!M$2,0)</f>
        <v>9171.837406610106</v>
      </c>
      <c r="F6" s="96">
        <f>IFERROR('Total crown'!F3*1000000/Population!N$2,0)</f>
        <v>9879.0723083035355</v>
      </c>
      <c r="G6" s="96">
        <f>IFERROR('Total crown'!G3*1000000/Population!O$2,0)</f>
        <v>10405.382262996942</v>
      </c>
      <c r="H6" s="96">
        <f>IFERROR('Total crown'!H3*1000000/Population!P$2,0)</f>
        <v>11278.453760371562</v>
      </c>
      <c r="I6" s="96">
        <f>IFERROR('Total crown'!I3*1000000/Population!Q$2,0)</f>
        <v>12500.746780479994</v>
      </c>
      <c r="J6" s="96">
        <f>IFERROR('Total crown'!J3*1000000/Population!R$2,0)</f>
        <v>12533.085850383299</v>
      </c>
      <c r="K6" s="96">
        <f>IFERROR('Total crown'!K3*1000000/Population!S$2,0)</f>
        <v>13233.640471858676</v>
      </c>
      <c r="L6" s="96">
        <f>IFERROR('Total crown'!L3*1000000/Population!T$2,0)</f>
        <v>12584.280630968789</v>
      </c>
      <c r="M6" s="96">
        <f>IFERROR('Total crown'!M3*1000000/Population!U$2,0)</f>
        <v>11572.240597425223</v>
      </c>
      <c r="N6" s="96">
        <f>IFERROR('Total crown'!N3*1000000/Population!V$2,0)</f>
        <v>11662.488566299495</v>
      </c>
      <c r="O6" s="96">
        <f>IFERROR('Total crown'!O3*1000000/Population!W$2,0)</f>
        <v>12401.372057042001</v>
      </c>
      <c r="P6" s="96">
        <f>IFERROR('Total crown'!P3*1000000/Population!X$2,0)</f>
        <v>13087.053420679409</v>
      </c>
      <c r="Q6" s="96">
        <f>IFERROR('Total crown'!Q3*1000000/Population!Y$2,0)</f>
        <v>13499.597533311602</v>
      </c>
      <c r="R6" s="96">
        <f>IFERROR('Total crown'!R3*1000000/Population!Z$2,0)</f>
        <v>14373.062068215198</v>
      </c>
      <c r="S6" s="96">
        <f>IFERROR('Total crown'!S3*1000000/Population!AA$2,0)</f>
        <v>14845.088429575964</v>
      </c>
      <c r="T6" s="96">
        <f>IFERROR('Total crown'!T3*1000000/Population!AB$2,0)</f>
        <v>15639.249880055904</v>
      </c>
      <c r="U6" s="96">
        <f>IFERROR('Total crown'!U3*1000000/Population!AC$2,0)</f>
        <v>15882.580273477743</v>
      </c>
      <c r="V6" s="96">
        <f>IFERROR('Total crown'!V3*1000000/Population!AD$2,0)</f>
        <v>16546.822941432452</v>
      </c>
      <c r="W6" s="96">
        <f>IFERROR('Total crown'!W3*1000000/Population!AE$2,0)</f>
        <v>17308.269869146759</v>
      </c>
      <c r="X6" s="96">
        <f>IFERROR('Total crown'!X3*1000000/Population!AF$2,0)</f>
        <v>18106.534715967235</v>
      </c>
      <c r="Y6" s="96">
        <f>IFERROR('Total crown'!Y3*1000000/Population!AG$2,0)</f>
        <v>18856.962415184502</v>
      </c>
    </row>
    <row r="7" spans="1:25" s="98" customFormat="1" x14ac:dyDescent="0.25">
      <c r="A7" s="95" t="str">
        <f>+'Total crown'!A4</f>
        <v>Other revenue</v>
      </c>
      <c r="B7" s="96">
        <f>IFERROR('Total crown'!B4*1000000/Population!J$2,0)</f>
        <v>2036.3410155071385</v>
      </c>
      <c r="C7" s="96">
        <f>IFERROR('Total crown'!C4*1000000/Population!K$2,0)</f>
        <v>1964.0009113693325</v>
      </c>
      <c r="D7" s="96">
        <f>IFERROR('Total crown'!D4*1000000/Population!L$2,0)</f>
        <v>2155.5337900220206</v>
      </c>
      <c r="E7" s="96">
        <f>IFERROR('Total crown'!E4*1000000/Population!M$2,0)</f>
        <v>3477.9437113741683</v>
      </c>
      <c r="F7" s="96">
        <f>IFERROR('Total crown'!F4*1000000/Population!N$2,0)</f>
        <v>4177.9684909532471</v>
      </c>
      <c r="G7" s="96">
        <f>IFERROR('Total crown'!G4*1000000/Population!O$2,0)</f>
        <v>4095.1395001264632</v>
      </c>
      <c r="H7" s="96">
        <f>IFERROR('Total crown'!H4*1000000/Population!P$2,0)</f>
        <v>4476.8862333389779</v>
      </c>
      <c r="I7" s="96">
        <f>IFERROR('Total crown'!I4*1000000/Population!Q$2,0)</f>
        <v>4511.2710084284636</v>
      </c>
      <c r="J7" s="96">
        <f>IFERROR('Total crown'!J4*1000000/Population!R$2,0)</f>
        <v>5069.0600540737623</v>
      </c>
      <c r="K7" s="96">
        <f>IFERROR('Total crown'!K4*1000000/Population!S$2,0)</f>
        <v>5836.7275074828331</v>
      </c>
      <c r="L7" s="96">
        <f>IFERROR('Total crown'!L4*1000000/Population!T$2,0)</f>
        <v>5826.7229738366887</v>
      </c>
      <c r="M7" s="96">
        <f>IFERROR('Total crown'!M4*1000000/Population!U$2,0)</f>
        <v>5497.7739060880276</v>
      </c>
      <c r="N7" s="96">
        <f>IFERROR('Total crown'!N4*1000000/Population!V$2,0)</f>
        <v>6862.2732363588257</v>
      </c>
      <c r="O7" s="96">
        <f>IFERROR('Total crown'!O4*1000000/Population!W$2,0)</f>
        <v>6506.6084691854321</v>
      </c>
      <c r="P7" s="96">
        <f>IFERROR('Total crown'!P4*1000000/Population!X$2,0)</f>
        <v>6343.1710227144822</v>
      </c>
      <c r="Q7" s="96">
        <f>IFERROR('Total crown'!Q4*1000000/Population!Y$2,0)</f>
        <v>6279.8108073947433</v>
      </c>
      <c r="R7" s="96">
        <f>IFERROR('Total crown'!R4*1000000/Population!Z$2,0)</f>
        <v>6301.0390034270795</v>
      </c>
      <c r="S7" s="96">
        <f>IFERROR('Total crown'!S4*1000000/Population!AA$2,0)</f>
        <v>6070.9567440869378</v>
      </c>
      <c r="T7" s="96">
        <f>IFERROR('Total crown'!T4*1000000/Population!AB$2,0)</f>
        <v>6102.3383883685483</v>
      </c>
      <c r="U7" s="96">
        <f>IFERROR('Total crown'!U4*1000000/Population!AC$2,0)</f>
        <v>6297.4303671211646</v>
      </c>
      <c r="V7" s="96">
        <f>IFERROR('Total crown'!V4*1000000/Population!AD$2,0)</f>
        <v>6419.4937726836997</v>
      </c>
      <c r="W7" s="96">
        <f>IFERROR('Total crown'!W4*1000000/Population!AE$2,0)</f>
        <v>6614.2643756576008</v>
      </c>
      <c r="X7" s="96">
        <f>IFERROR('Total crown'!X4*1000000/Population!AF$2,0)</f>
        <v>6707.3322926171977</v>
      </c>
      <c r="Y7" s="96">
        <f>IFERROR('Total crown'!Y4*1000000/Population!AG$2,0)</f>
        <v>6821.9893414801836</v>
      </c>
    </row>
    <row r="8" spans="1:25" s="98" customFormat="1" x14ac:dyDescent="0.25">
      <c r="A8" s="95" t="str">
        <f>+'Total crown'!A5</f>
        <v>Total revenue (excluding gains)</v>
      </c>
      <c r="B8" s="96">
        <f>IFERROR('Total crown'!B5*1000000/Population!J$2,0)</f>
        <v>10420.998521178437</v>
      </c>
      <c r="C8" s="96">
        <f>IFERROR('Total crown'!C5*1000000/Population!K$2,0)</f>
        <v>10786.615422606599</v>
      </c>
      <c r="D8" s="96">
        <f>IFERROR('Total crown'!D5*1000000/Population!L$2,0)</f>
        <v>11622.355075938784</v>
      </c>
      <c r="E8" s="96">
        <f>IFERROR('Total crown'!E5*1000000/Population!M$2,0)</f>
        <v>12649.781117984272</v>
      </c>
      <c r="F8" s="96">
        <f>IFERROR('Total crown'!F5*1000000/Population!N$2,0)</f>
        <v>14057.040799256782</v>
      </c>
      <c r="G8" s="96">
        <f>IFERROR('Total crown'!G5*1000000/Population!O$2,0)</f>
        <v>14500.521763123406</v>
      </c>
      <c r="H8" s="96">
        <f>IFERROR('Total crown'!H5*1000000/Population!P$2,0)</f>
        <v>15755.339993710541</v>
      </c>
      <c r="I8" s="96">
        <f>IFERROR('Total crown'!I5*1000000/Population!Q$2,0)</f>
        <v>17012.017788908459</v>
      </c>
      <c r="J8" s="96">
        <f>IFERROR('Total crown'!J5*1000000/Population!R$2,0)</f>
        <v>17602.145904457062</v>
      </c>
      <c r="K8" s="96">
        <f>IFERROR('Total crown'!K5*1000000/Population!S$2,0)</f>
        <v>19070.36797934151</v>
      </c>
      <c r="L8" s="96">
        <f>IFERROR('Total crown'!L5*1000000/Population!T$2,0)</f>
        <v>18411.003604805479</v>
      </c>
      <c r="M8" s="96">
        <f>IFERROR('Total crown'!M5*1000000/Population!U$2,0)</f>
        <v>17070.014503513252</v>
      </c>
      <c r="N8" s="96">
        <f>IFERROR('Total crown'!N5*1000000/Population!V$2,0)</f>
        <v>18524.761802658322</v>
      </c>
      <c r="O8" s="96">
        <f>IFERROR('Total crown'!O5*1000000/Population!W$2,0)</f>
        <v>18907.980526227431</v>
      </c>
      <c r="P8" s="96">
        <f>IFERROR('Total crown'!P5*1000000/Population!X$2,0)</f>
        <v>19430.22444339389</v>
      </c>
      <c r="Q8" s="96">
        <f>IFERROR('Total crown'!Q5*1000000/Population!Y$2,0)</f>
        <v>19779.408340706344</v>
      </c>
      <c r="R8" s="96">
        <f>IFERROR('Total crown'!R5*1000000/Population!Z$2,0)</f>
        <v>20674.101071642279</v>
      </c>
      <c r="S8" s="96">
        <f>IFERROR('Total crown'!S5*1000000/Population!AA$2,0)</f>
        <v>20916.045173662904</v>
      </c>
      <c r="T8" s="96">
        <f>IFERROR('Total crown'!T5*1000000/Population!AB$2,0)</f>
        <v>21741.588268424453</v>
      </c>
      <c r="U8" s="96">
        <f>IFERROR('Total crown'!U5*1000000/Population!AC$2,0)</f>
        <v>22180.010640598906</v>
      </c>
      <c r="V8" s="96">
        <f>IFERROR('Total crown'!V5*1000000/Population!AD$2,0)</f>
        <v>22966.316714116154</v>
      </c>
      <c r="W8" s="96">
        <f>IFERROR('Total crown'!W5*1000000/Population!AE$2,0)</f>
        <v>23922.534244804359</v>
      </c>
      <c r="X8" s="96">
        <f>IFERROR('Total crown'!X5*1000000/Population!AF$2,0)</f>
        <v>24813.867008584435</v>
      </c>
      <c r="Y8" s="96">
        <f>IFERROR('Total crown'!Y5*1000000/Population!AG$2,0)</f>
        <v>25678.951756664686</v>
      </c>
    </row>
    <row r="9" spans="1:25" s="98" customFormat="1" x14ac:dyDescent="0.25">
      <c r="A9" s="95" t="str">
        <f>+'Total crown'!A6</f>
        <v>Total expenses (excluding losses)</v>
      </c>
      <c r="B9" s="96">
        <f>IFERROR('Total crown'!B6*1000000/Population!J$2,0)</f>
        <v>10387.622598777458</v>
      </c>
      <c r="C9" s="96">
        <f>IFERROR('Total crown'!C6*1000000/Population!K$2,0)</f>
        <v>10632.746537001185</v>
      </c>
      <c r="D9" s="96">
        <f>IFERROR('Total crown'!D6*1000000/Population!L$2,0)</f>
        <v>11256.02857162233</v>
      </c>
      <c r="E9" s="96">
        <f>IFERROR('Total crown'!E6*1000000/Population!M$2,0)</f>
        <v>12023.919337561327</v>
      </c>
      <c r="F9" s="96">
        <f>IFERROR('Total crown'!F6*1000000/Population!N$2,0)</f>
        <v>12972.936957878155</v>
      </c>
      <c r="G9" s="96">
        <f>IFERROR('Total crown'!G6*1000000/Population!O$2,0)</f>
        <v>13137.067903796187</v>
      </c>
      <c r="H9" s="96">
        <f>IFERROR('Total crown'!H6*1000000/Population!P$2,0)</f>
        <v>14044.122983139408</v>
      </c>
      <c r="I9" s="96">
        <f>IFERROR('Total crown'!I6*1000000/Population!Q$2,0)</f>
        <v>15317.483266143005</v>
      </c>
      <c r="J9" s="96">
        <f>IFERROR('Total crown'!J6*1000000/Population!R$2,0)</f>
        <v>16214.789315933767</v>
      </c>
      <c r="K9" s="96">
        <f>IFERROR('Total crown'!K6*1000000/Population!S$2,0)</f>
        <v>17747.050883267799</v>
      </c>
      <c r="L9" s="96">
        <f>IFERROR('Total crown'!L6*1000000/Population!T$2,0)</f>
        <v>19315.807455509355</v>
      </c>
      <c r="M9" s="96">
        <f>IFERROR('Total crown'!M6*1000000/Population!U$2,0)</f>
        <v>18521.515076988144</v>
      </c>
      <c r="N9" s="96">
        <f>IFERROR('Total crown'!N6*1000000/Population!V$2,0)</f>
        <v>22720.958400718984</v>
      </c>
      <c r="O9" s="96">
        <f>IFERROR('Total crown'!O6*1000000/Population!W$2,0)</f>
        <v>21004.17878484022</v>
      </c>
      <c r="P9" s="96">
        <f>IFERROR('Total crown'!P6*1000000/Population!X$2,0)</f>
        <v>20409.941244006211</v>
      </c>
      <c r="Q9" s="96">
        <f>IFERROR('Total crown'!Q6*1000000/Population!Y$2,0)</f>
        <v>20365.479667116808</v>
      </c>
      <c r="R9" s="96">
        <f>IFERROR('Total crown'!R6*1000000/Population!Z$2,0)</f>
        <v>20512.865147146822</v>
      </c>
      <c r="S9" s="96">
        <f>IFERROR('Total crown'!S6*1000000/Population!AA$2,0)</f>
        <v>20430.42829746431</v>
      </c>
      <c r="T9" s="96">
        <f>IFERROR('Total crown'!T6*1000000/Population!AB$2,0)</f>
        <v>20820.626212478361</v>
      </c>
      <c r="U9" s="96">
        <f>IFERROR('Total crown'!U6*1000000/Population!AC$2,0)</f>
        <v>21573.352988029837</v>
      </c>
      <c r="V9" s="96">
        <f>IFERROR('Total crown'!V6*1000000/Population!AD$2,0)</f>
        <v>22309.92881972382</v>
      </c>
      <c r="W9" s="96">
        <f>IFERROR('Total crown'!W6*1000000/Population!AE$2,0)</f>
        <v>22837.361295365536</v>
      </c>
      <c r="X9" s="96">
        <f>IFERROR('Total crown'!X6*1000000/Population!AF$2,0)</f>
        <v>23440.090264403872</v>
      </c>
      <c r="Y9" s="96">
        <f>IFERROR('Total crown'!Y6*1000000/Population!AG$2,0)</f>
        <v>23870.83777956837</v>
      </c>
    </row>
    <row r="10" spans="1:25" s="98" customFormat="1" x14ac:dyDescent="0.25">
      <c r="A10" s="95" t="s">
        <v>79</v>
      </c>
      <c r="B10" s="96">
        <f>+B8-B9</f>
        <v>33.375922400979107</v>
      </c>
      <c r="C10" s="96">
        <f t="shared" ref="C10:S10" si="1">+C8-C9</f>
        <v>153.86888560541411</v>
      </c>
      <c r="D10" s="96">
        <f t="shared" si="1"/>
        <v>366.32650431645379</v>
      </c>
      <c r="E10" s="96">
        <f t="shared" si="1"/>
        <v>625.86178042294523</v>
      </c>
      <c r="F10" s="96">
        <f t="shared" si="1"/>
        <v>1084.1038413786264</v>
      </c>
      <c r="G10" s="96">
        <f t="shared" si="1"/>
        <v>1363.4538593272191</v>
      </c>
      <c r="H10" s="96">
        <f t="shared" si="1"/>
        <v>1711.2170105711321</v>
      </c>
      <c r="I10" s="96">
        <f t="shared" si="1"/>
        <v>1694.5345227654543</v>
      </c>
      <c r="J10" s="96">
        <f t="shared" si="1"/>
        <v>1387.3565885232947</v>
      </c>
      <c r="K10" s="96">
        <f t="shared" si="1"/>
        <v>1323.3170960737116</v>
      </c>
      <c r="L10" s="96">
        <f t="shared" si="1"/>
        <v>-904.80385070387638</v>
      </c>
      <c r="M10" s="96">
        <f t="shared" si="1"/>
        <v>-1451.500573474892</v>
      </c>
      <c r="N10" s="96">
        <f t="shared" si="1"/>
        <v>-4196.1965980606619</v>
      </c>
      <c r="O10" s="96">
        <f t="shared" si="1"/>
        <v>-2096.1982586127888</v>
      </c>
      <c r="P10" s="96">
        <f t="shared" si="1"/>
        <v>-979.71680061232109</v>
      </c>
      <c r="Q10" s="96">
        <f t="shared" si="1"/>
        <v>-586.07132641046337</v>
      </c>
      <c r="R10" s="96">
        <f t="shared" si="1"/>
        <v>161.23592449545686</v>
      </c>
      <c r="S10" s="96">
        <f t="shared" si="1"/>
        <v>485.61687619859367</v>
      </c>
      <c r="T10" s="96">
        <f t="shared" ref="T10:Y10" si="2">+T8-T9</f>
        <v>920.96205594609273</v>
      </c>
      <c r="U10" s="96">
        <f t="shared" si="2"/>
        <v>606.65765256906889</v>
      </c>
      <c r="V10" s="96">
        <f t="shared" si="2"/>
        <v>656.38789439233369</v>
      </c>
      <c r="W10" s="96">
        <f t="shared" si="2"/>
        <v>1085.1729494388237</v>
      </c>
      <c r="X10" s="96">
        <f t="shared" si="2"/>
        <v>1373.7767441805627</v>
      </c>
      <c r="Y10" s="96">
        <f t="shared" si="2"/>
        <v>1808.1139770963164</v>
      </c>
    </row>
    <row r="11" spans="1:25" s="98" customFormat="1" x14ac:dyDescent="0.25">
      <c r="A11" s="95"/>
      <c r="B11" s="96"/>
      <c r="C11" s="96"/>
      <c r="D11" s="96"/>
      <c r="E11" s="96"/>
      <c r="F11" s="96"/>
      <c r="G11" s="96"/>
      <c r="H11" s="96"/>
      <c r="I11" s="96"/>
      <c r="J11" s="96"/>
      <c r="K11" s="96"/>
      <c r="L11" s="96"/>
      <c r="M11" s="96"/>
      <c r="N11" s="96"/>
      <c r="O11" s="96"/>
      <c r="P11" s="96"/>
      <c r="Q11" s="96"/>
      <c r="R11" s="96"/>
      <c r="S11" s="96"/>
      <c r="T11" s="96"/>
      <c r="U11" s="96"/>
      <c r="V11" s="96"/>
      <c r="W11" s="96"/>
      <c r="X11" s="96"/>
      <c r="Y11" s="96"/>
    </row>
    <row r="12" spans="1:25" s="98" customFormat="1" x14ac:dyDescent="0.25">
      <c r="A12" s="95"/>
      <c r="B12" s="96"/>
      <c r="C12" s="96"/>
      <c r="D12" s="96"/>
      <c r="E12" s="96"/>
      <c r="F12" s="96"/>
      <c r="G12" s="96"/>
      <c r="H12" s="96"/>
      <c r="I12" s="96"/>
      <c r="J12" s="96"/>
      <c r="K12" s="96"/>
      <c r="L12" s="96"/>
      <c r="M12" s="96"/>
      <c r="N12" s="96"/>
      <c r="O12" s="96"/>
      <c r="P12" s="96"/>
      <c r="Q12" s="96"/>
      <c r="R12" s="96"/>
      <c r="S12" s="96"/>
      <c r="T12" s="96"/>
      <c r="U12" s="96"/>
      <c r="V12" s="96"/>
      <c r="W12" s="96"/>
      <c r="X12" s="96"/>
      <c r="Y12" s="96"/>
    </row>
    <row r="13" spans="1:25" s="98" customFormat="1" x14ac:dyDescent="0.25">
      <c r="A13" s="95"/>
      <c r="B13" s="96"/>
      <c r="C13" s="96"/>
      <c r="D13" s="96"/>
      <c r="E13" s="96"/>
      <c r="F13" s="96"/>
      <c r="G13" s="96"/>
      <c r="H13" s="96"/>
      <c r="I13" s="96"/>
      <c r="J13" s="96"/>
      <c r="K13" s="96"/>
      <c r="L13" s="96"/>
      <c r="M13" s="96"/>
      <c r="N13" s="96"/>
      <c r="O13" s="96"/>
      <c r="P13" s="96"/>
      <c r="Q13" s="96"/>
      <c r="R13" s="96"/>
      <c r="S13" s="96"/>
      <c r="T13" s="96"/>
      <c r="U13" s="96"/>
      <c r="V13" s="96"/>
      <c r="W13" s="96"/>
      <c r="X13" s="96"/>
      <c r="Y13" s="96"/>
    </row>
    <row r="14" spans="1:25" s="98" customFormat="1" x14ac:dyDescent="0.25">
      <c r="A14" s="95"/>
      <c r="B14" s="96"/>
      <c r="C14" s="96"/>
      <c r="D14" s="96"/>
      <c r="E14" s="96"/>
      <c r="F14" s="96"/>
      <c r="G14" s="96"/>
      <c r="H14" s="96"/>
      <c r="I14" s="96"/>
      <c r="J14" s="96"/>
      <c r="K14" s="96"/>
      <c r="L14" s="96"/>
      <c r="M14" s="96"/>
      <c r="N14" s="96"/>
      <c r="O14" s="96"/>
      <c r="P14" s="96"/>
      <c r="Q14" s="96"/>
      <c r="R14" s="96"/>
      <c r="S14" s="96"/>
      <c r="T14" s="96"/>
      <c r="U14" s="96"/>
      <c r="V14" s="96"/>
      <c r="W14" s="96"/>
      <c r="X14" s="96"/>
      <c r="Y14" s="96"/>
    </row>
    <row r="15" spans="1:25" x14ac:dyDescent="0.25">
      <c r="A15" s="95"/>
      <c r="B15" s="96"/>
      <c r="C15" s="96"/>
      <c r="D15" s="96"/>
      <c r="E15" s="96"/>
      <c r="F15" s="96"/>
      <c r="G15" s="96"/>
      <c r="H15" s="96"/>
      <c r="I15" s="96"/>
      <c r="J15" s="96"/>
      <c r="K15" s="96"/>
      <c r="L15" s="96"/>
      <c r="M15" s="96"/>
      <c r="N15" s="96"/>
      <c r="O15" s="96"/>
      <c r="P15" s="96"/>
      <c r="Q15" s="96"/>
      <c r="R15" s="96"/>
      <c r="S15" s="96"/>
      <c r="T15" s="96"/>
      <c r="U15" s="96"/>
      <c r="V15" s="96"/>
      <c r="W15" s="96"/>
      <c r="X15" s="96"/>
      <c r="Y15" s="96"/>
    </row>
    <row r="16" spans="1:25" x14ac:dyDescent="0.25">
      <c r="M16" s="99"/>
      <c r="N16" s="99"/>
      <c r="O16" s="99"/>
      <c r="P16" s="99"/>
      <c r="Q16" s="99"/>
      <c r="R16" s="99"/>
      <c r="S16" s="99"/>
      <c r="T16" s="99"/>
      <c r="U16" s="99"/>
      <c r="V16" s="99"/>
      <c r="W16" s="99"/>
      <c r="X16" s="99"/>
    </row>
    <row r="17" spans="1:25" x14ac:dyDescent="0.25">
      <c r="M17" s="99"/>
      <c r="N17" s="99"/>
      <c r="O17" s="99"/>
      <c r="P17" s="99"/>
      <c r="Q17" s="99"/>
      <c r="R17" s="99"/>
      <c r="S17" s="99"/>
      <c r="T17" s="99"/>
      <c r="U17" s="99"/>
      <c r="V17" s="99"/>
      <c r="W17" s="99"/>
      <c r="X17" s="99"/>
    </row>
    <row r="18" spans="1:25" x14ac:dyDescent="0.25">
      <c r="M18" s="99"/>
      <c r="N18" s="99"/>
      <c r="O18" s="99"/>
      <c r="P18" s="99"/>
      <c r="Q18" s="99"/>
      <c r="R18" s="99"/>
      <c r="S18" s="99"/>
      <c r="T18" s="99"/>
      <c r="U18" s="99"/>
      <c r="V18" s="99"/>
      <c r="W18" s="99"/>
      <c r="X18" s="99"/>
    </row>
    <row r="19" spans="1:25" x14ac:dyDescent="0.25">
      <c r="A19" s="100"/>
      <c r="M19" s="99"/>
      <c r="N19" s="99"/>
      <c r="O19" s="99"/>
      <c r="P19" s="99"/>
      <c r="Q19" s="99"/>
      <c r="R19" s="99"/>
      <c r="S19" s="99"/>
      <c r="T19" s="99"/>
      <c r="U19" s="99"/>
      <c r="V19" s="99"/>
      <c r="W19" s="99"/>
      <c r="X19" s="99"/>
    </row>
    <row r="20" spans="1:25" x14ac:dyDescent="0.25">
      <c r="M20" s="99"/>
      <c r="N20" s="99"/>
      <c r="O20" s="99"/>
      <c r="P20" s="99"/>
      <c r="Q20" s="99"/>
      <c r="R20" s="99"/>
      <c r="S20" s="99"/>
      <c r="T20" s="99"/>
      <c r="U20" s="99"/>
      <c r="V20" s="99"/>
      <c r="W20" s="99"/>
      <c r="X20" s="99"/>
    </row>
    <row r="22" spans="1:25" x14ac:dyDescent="0.25">
      <c r="A22" s="100"/>
      <c r="Q22" s="99"/>
    </row>
    <row r="23" spans="1:25" x14ac:dyDescent="0.25">
      <c r="A23" s="100"/>
      <c r="V23" s="99"/>
    </row>
    <row r="24" spans="1:25" x14ac:dyDescent="0.25">
      <c r="A24" s="100"/>
      <c r="N24" s="99"/>
      <c r="O24" s="99"/>
      <c r="P24" s="99"/>
      <c r="V24" s="99"/>
    </row>
    <row r="26" spans="1:25" x14ac:dyDescent="0.25">
      <c r="N26" s="99"/>
      <c r="O26" s="99"/>
      <c r="P26" s="99"/>
    </row>
    <row r="27" spans="1:25" x14ac:dyDescent="0.25">
      <c r="N27" s="99"/>
      <c r="O27" s="99"/>
      <c r="P27" s="99"/>
    </row>
    <row r="28" spans="1:25" x14ac:dyDescent="0.25">
      <c r="N28" s="99"/>
      <c r="O28" s="99"/>
      <c r="P28" s="99"/>
    </row>
    <row r="29" spans="1:25" x14ac:dyDescent="0.25">
      <c r="N29" s="99"/>
      <c r="O29" s="99"/>
      <c r="P29" s="99"/>
    </row>
    <row r="30" spans="1:25" x14ac:dyDescent="0.25">
      <c r="N30" s="99"/>
      <c r="O30" s="99"/>
      <c r="P30" s="99"/>
    </row>
    <row r="31" spans="1:25" x14ac:dyDescent="0.25">
      <c r="A31" s="82" t="s">
        <v>52</v>
      </c>
      <c r="N31" s="99"/>
      <c r="O31" s="99"/>
      <c r="P31" s="99"/>
    </row>
    <row r="32" spans="1:25" x14ac:dyDescent="0.25">
      <c r="A32" s="193" t="s">
        <v>74</v>
      </c>
      <c r="B32" s="84">
        <v>36312</v>
      </c>
      <c r="C32" s="85">
        <v>36678</v>
      </c>
      <c r="D32" s="85">
        <v>37043</v>
      </c>
      <c r="E32" s="85">
        <v>37408</v>
      </c>
      <c r="F32" s="85">
        <v>37773</v>
      </c>
      <c r="G32" s="85">
        <v>38139</v>
      </c>
      <c r="H32" s="85">
        <v>38504</v>
      </c>
      <c r="I32" s="85">
        <v>38869</v>
      </c>
      <c r="J32" s="85">
        <v>39234</v>
      </c>
      <c r="K32" s="85">
        <v>39600</v>
      </c>
      <c r="L32" s="85">
        <v>39965</v>
      </c>
      <c r="M32" s="85">
        <v>40330</v>
      </c>
      <c r="N32" s="85">
        <v>40695</v>
      </c>
      <c r="O32" s="85">
        <v>41061</v>
      </c>
      <c r="P32" s="85">
        <v>41426</v>
      </c>
      <c r="Q32" s="85">
        <v>41791</v>
      </c>
      <c r="R32" s="85">
        <v>42156</v>
      </c>
      <c r="S32" s="85">
        <v>42522</v>
      </c>
      <c r="T32" s="85">
        <v>42887</v>
      </c>
      <c r="U32" s="85">
        <v>43252</v>
      </c>
      <c r="V32" s="85">
        <v>43617</v>
      </c>
      <c r="W32" s="85">
        <v>43983</v>
      </c>
      <c r="X32" s="85">
        <v>44348</v>
      </c>
      <c r="Y32" s="85">
        <f t="shared" ref="Y32" si="3">EDATE(X32,12)</f>
        <v>44713</v>
      </c>
    </row>
    <row r="33" spans="1:25" x14ac:dyDescent="0.25">
      <c r="A33" s="194"/>
      <c r="B33" s="88" t="s">
        <v>24</v>
      </c>
      <c r="C33" s="88" t="s">
        <v>24</v>
      </c>
      <c r="D33" s="88" t="s">
        <v>24</v>
      </c>
      <c r="E33" s="88" t="s">
        <v>24</v>
      </c>
      <c r="F33" s="88" t="s">
        <v>24</v>
      </c>
      <c r="G33" s="88" t="s">
        <v>24</v>
      </c>
      <c r="H33" s="88" t="s">
        <v>24</v>
      </c>
      <c r="I33" s="88" t="s">
        <v>24</v>
      </c>
      <c r="J33" s="88" t="s">
        <v>24</v>
      </c>
      <c r="K33" s="88" t="s">
        <v>24</v>
      </c>
      <c r="L33" s="88" t="s">
        <v>24</v>
      </c>
      <c r="M33" s="88" t="s">
        <v>24</v>
      </c>
      <c r="N33" s="88" t="s">
        <v>24</v>
      </c>
      <c r="O33" s="88" t="s">
        <v>24</v>
      </c>
      <c r="P33" s="88" t="s">
        <v>24</v>
      </c>
      <c r="Q33" s="88" t="s">
        <v>24</v>
      </c>
      <c r="R33" s="88" t="s">
        <v>24</v>
      </c>
      <c r="S33" s="88" t="s">
        <v>24</v>
      </c>
      <c r="T33" s="88" t="s">
        <v>24</v>
      </c>
      <c r="U33" s="88" t="s">
        <v>24</v>
      </c>
      <c r="V33" s="88" t="s">
        <v>24</v>
      </c>
      <c r="W33" s="88" t="s">
        <v>24</v>
      </c>
      <c r="X33" s="88" t="s">
        <v>24</v>
      </c>
      <c r="Y33" s="88" t="s">
        <v>24</v>
      </c>
    </row>
    <row r="34" spans="1:25" x14ac:dyDescent="0.25">
      <c r="A34" s="194"/>
      <c r="B34" s="88" t="s">
        <v>53</v>
      </c>
      <c r="C34" s="88" t="s">
        <v>53</v>
      </c>
      <c r="D34" s="88" t="s">
        <v>53</v>
      </c>
      <c r="E34" s="88" t="s">
        <v>53</v>
      </c>
      <c r="F34" s="88" t="s">
        <v>53</v>
      </c>
      <c r="G34" s="88" t="s">
        <v>53</v>
      </c>
      <c r="H34" s="88" t="s">
        <v>53</v>
      </c>
      <c r="I34" s="88" t="s">
        <v>53</v>
      </c>
      <c r="J34" s="88" t="s">
        <v>53</v>
      </c>
      <c r="K34" s="88" t="s">
        <v>53</v>
      </c>
      <c r="L34" s="88" t="s">
        <v>53</v>
      </c>
      <c r="M34" s="88" t="s">
        <v>53</v>
      </c>
      <c r="N34" s="88" t="s">
        <v>53</v>
      </c>
      <c r="O34" s="88" t="s">
        <v>53</v>
      </c>
      <c r="P34" s="88" t="s">
        <v>53</v>
      </c>
      <c r="Q34" s="88" t="s">
        <v>53</v>
      </c>
      <c r="R34" s="88" t="s">
        <v>53</v>
      </c>
      <c r="S34" s="88" t="s">
        <v>53</v>
      </c>
      <c r="T34" s="88" t="s">
        <v>53</v>
      </c>
      <c r="U34" s="88" t="s">
        <v>53</v>
      </c>
      <c r="V34" s="88" t="s">
        <v>53</v>
      </c>
      <c r="W34" s="88" t="s">
        <v>53</v>
      </c>
      <c r="X34" s="88" t="s">
        <v>53</v>
      </c>
      <c r="Y34" s="88" t="s">
        <v>53</v>
      </c>
    </row>
    <row r="35" spans="1:25" x14ac:dyDescent="0.25">
      <c r="A35" s="194"/>
      <c r="B35" s="88" t="s">
        <v>54</v>
      </c>
      <c r="C35" s="88" t="s">
        <v>54</v>
      </c>
      <c r="D35" s="88" t="s">
        <v>54</v>
      </c>
      <c r="E35" s="88" t="s">
        <v>54</v>
      </c>
      <c r="F35" s="88" t="s">
        <v>54</v>
      </c>
      <c r="G35" s="88" t="s">
        <v>54</v>
      </c>
      <c r="H35" s="88" t="s">
        <v>54</v>
      </c>
      <c r="I35" s="88" t="s">
        <v>54</v>
      </c>
      <c r="J35" s="88" t="s">
        <v>54</v>
      </c>
      <c r="K35" s="88" t="s">
        <v>54</v>
      </c>
      <c r="L35" s="88" t="s">
        <v>54</v>
      </c>
      <c r="M35" s="88" t="s">
        <v>54</v>
      </c>
      <c r="N35" s="88" t="s">
        <v>54</v>
      </c>
      <c r="O35" s="88" t="s">
        <v>54</v>
      </c>
      <c r="P35" s="88" t="s">
        <v>54</v>
      </c>
      <c r="Q35" s="88" t="s">
        <v>54</v>
      </c>
      <c r="R35" s="88" t="s">
        <v>54</v>
      </c>
      <c r="S35" s="88" t="s">
        <v>54</v>
      </c>
      <c r="T35" s="88" t="s">
        <v>54</v>
      </c>
      <c r="U35" s="88" t="s">
        <v>54</v>
      </c>
      <c r="V35" s="88" t="s">
        <v>54</v>
      </c>
      <c r="W35" s="88" t="s">
        <v>54</v>
      </c>
      <c r="X35" s="88" t="s">
        <v>54</v>
      </c>
      <c r="Y35" s="88" t="s">
        <v>54</v>
      </c>
    </row>
    <row r="36" spans="1:25" x14ac:dyDescent="0.25">
      <c r="A36" s="91"/>
      <c r="B36" s="92"/>
      <c r="C36" s="93"/>
      <c r="D36" s="93"/>
      <c r="E36" s="93"/>
      <c r="F36" s="93"/>
      <c r="G36" s="93"/>
      <c r="H36" s="93"/>
      <c r="I36" s="93"/>
      <c r="J36" s="93"/>
      <c r="K36" s="93"/>
      <c r="L36" s="93"/>
      <c r="M36" s="93"/>
      <c r="N36" s="93"/>
      <c r="O36" s="93"/>
      <c r="P36" s="93"/>
      <c r="Q36" s="93"/>
      <c r="R36" s="93"/>
      <c r="S36" s="93"/>
      <c r="T36" s="93"/>
      <c r="U36" s="93"/>
      <c r="V36" s="93"/>
      <c r="W36" s="93"/>
      <c r="X36" s="93"/>
      <c r="Y36" s="93"/>
    </row>
    <row r="37" spans="1:25" x14ac:dyDescent="0.25">
      <c r="A37" s="95" t="str">
        <f>+A6</f>
        <v>Taxation revenue</v>
      </c>
      <c r="B37" s="101">
        <f t="shared" ref="B37:S37" si="4">+B6/52.1429</f>
        <v>160.8015186280644</v>
      </c>
      <c r="C37" s="101">
        <f t="shared" si="4"/>
        <v>169.20068717384851</v>
      </c>
      <c r="D37" s="101">
        <f t="shared" si="4"/>
        <v>181.55532749265507</v>
      </c>
      <c r="E37" s="101">
        <f t="shared" si="4"/>
        <v>175.89810705983186</v>
      </c>
      <c r="F37" s="101">
        <f t="shared" si="4"/>
        <v>189.46150498540618</v>
      </c>
      <c r="G37" s="101">
        <f t="shared" si="4"/>
        <v>199.55511225875321</v>
      </c>
      <c r="H37" s="101">
        <f t="shared" si="4"/>
        <v>216.29893543265837</v>
      </c>
      <c r="I37" s="101">
        <f t="shared" si="4"/>
        <v>239.74015216798443</v>
      </c>
      <c r="J37" s="101">
        <f t="shared" si="4"/>
        <v>240.36035299884162</v>
      </c>
      <c r="K37" s="101">
        <f t="shared" si="4"/>
        <v>253.79563606662992</v>
      </c>
      <c r="L37" s="101">
        <f t="shared" si="4"/>
        <v>241.34216990172757</v>
      </c>
      <c r="M37" s="101">
        <f t="shared" si="4"/>
        <v>221.93319890963534</v>
      </c>
      <c r="N37" s="101">
        <f t="shared" si="4"/>
        <v>223.66398045178721</v>
      </c>
      <c r="O37" s="101">
        <f t="shared" si="4"/>
        <v>237.83433712052843</v>
      </c>
      <c r="P37" s="101">
        <f t="shared" si="4"/>
        <v>250.98437986148468</v>
      </c>
      <c r="Q37" s="101">
        <f t="shared" si="4"/>
        <v>258.89617825843214</v>
      </c>
      <c r="R37" s="101">
        <f t="shared" si="4"/>
        <v>275.64753913217714</v>
      </c>
      <c r="S37" s="101">
        <f t="shared" si="4"/>
        <v>284.70009204658669</v>
      </c>
      <c r="T37" s="101">
        <f t="shared" ref="T37:Y37" si="5">+T6/52.1429</f>
        <v>299.93057309923125</v>
      </c>
      <c r="U37" s="101">
        <f t="shared" si="5"/>
        <v>304.59717954846667</v>
      </c>
      <c r="V37" s="101">
        <f t="shared" si="5"/>
        <v>317.33606955946931</v>
      </c>
      <c r="W37" s="101">
        <f t="shared" si="5"/>
        <v>331.93914932132196</v>
      </c>
      <c r="X37" s="101">
        <f t="shared" si="5"/>
        <v>347.24832558156982</v>
      </c>
      <c r="Y37" s="101">
        <f t="shared" si="5"/>
        <v>361.64007784731007</v>
      </c>
    </row>
    <row r="38" spans="1:25" x14ac:dyDescent="0.25">
      <c r="A38" s="95" t="str">
        <f>+A7</f>
        <v>Other revenue</v>
      </c>
      <c r="B38" s="101">
        <f t="shared" ref="B38:S38" si="6">+B7/52.1429</f>
        <v>39.053083267465723</v>
      </c>
      <c r="C38" s="101">
        <f t="shared" si="6"/>
        <v>37.665739944831081</v>
      </c>
      <c r="D38" s="101">
        <f t="shared" si="6"/>
        <v>41.338970214967347</v>
      </c>
      <c r="E38" s="101">
        <f t="shared" si="6"/>
        <v>66.700235533009646</v>
      </c>
      <c r="F38" s="101">
        <f t="shared" si="6"/>
        <v>80.125357257713844</v>
      </c>
      <c r="G38" s="101">
        <f t="shared" si="6"/>
        <v>78.536857369391868</v>
      </c>
      <c r="H38" s="101">
        <f t="shared" si="6"/>
        <v>85.858021577990058</v>
      </c>
      <c r="I38" s="101">
        <f t="shared" si="6"/>
        <v>86.517455078801987</v>
      </c>
      <c r="J38" s="101">
        <f t="shared" si="6"/>
        <v>97.214770449548496</v>
      </c>
      <c r="K38" s="101">
        <f t="shared" si="6"/>
        <v>111.93714786639856</v>
      </c>
      <c r="L38" s="101">
        <f t="shared" si="6"/>
        <v>111.74528025554177</v>
      </c>
      <c r="M38" s="101">
        <f t="shared" si="6"/>
        <v>105.43667318250476</v>
      </c>
      <c r="N38" s="101">
        <f t="shared" si="6"/>
        <v>131.60513198074571</v>
      </c>
      <c r="O38" s="101">
        <f t="shared" si="6"/>
        <v>124.78416944944436</v>
      </c>
      <c r="P38" s="101">
        <f t="shared" si="6"/>
        <v>121.64975524404056</v>
      </c>
      <c r="Q38" s="101">
        <f t="shared" si="6"/>
        <v>120.43462882568372</v>
      </c>
      <c r="R38" s="101">
        <f t="shared" si="6"/>
        <v>120.84174457935941</v>
      </c>
      <c r="S38" s="101">
        <f t="shared" si="6"/>
        <v>116.42921172560287</v>
      </c>
      <c r="T38" s="101">
        <f t="shared" ref="T38:Y38" si="7">+T7/52.1429</f>
        <v>117.03105098428642</v>
      </c>
      <c r="U38" s="101">
        <f t="shared" si="7"/>
        <v>120.77253791256652</v>
      </c>
      <c r="V38" s="101">
        <f t="shared" si="7"/>
        <v>123.11347801299314</v>
      </c>
      <c r="W38" s="101">
        <f t="shared" si="7"/>
        <v>126.84880157524037</v>
      </c>
      <c r="X38" s="101">
        <f t="shared" si="7"/>
        <v>128.63366426909892</v>
      </c>
      <c r="Y38" s="101">
        <f t="shared" si="7"/>
        <v>130.83256476874482</v>
      </c>
    </row>
    <row r="39" spans="1:25" x14ac:dyDescent="0.25">
      <c r="A39" s="95" t="str">
        <f>+A9</f>
        <v>Total expenses (excluding losses)</v>
      </c>
      <c r="B39" s="101">
        <f t="shared" ref="B39:S39" si="8">+B9/52.1429</f>
        <v>199.21451623859545</v>
      </c>
      <c r="C39" s="101">
        <f t="shared" si="8"/>
        <v>203.91551940918487</v>
      </c>
      <c r="D39" s="101">
        <f t="shared" si="8"/>
        <v>215.86886367314304</v>
      </c>
      <c r="E39" s="101">
        <f t="shared" si="8"/>
        <v>230.59552379252645</v>
      </c>
      <c r="F39" s="101">
        <f t="shared" si="8"/>
        <v>248.79584675724126</v>
      </c>
      <c r="G39" s="101">
        <f t="shared" si="8"/>
        <v>251.94356094110967</v>
      </c>
      <c r="H39" s="101">
        <f t="shared" si="8"/>
        <v>269.33912350750359</v>
      </c>
      <c r="I39" s="101">
        <f t="shared" si="8"/>
        <v>293.75971160297962</v>
      </c>
      <c r="J39" s="101">
        <f t="shared" si="8"/>
        <v>310.96830663299829</v>
      </c>
      <c r="K39" s="101">
        <f t="shared" si="8"/>
        <v>340.35412075791334</v>
      </c>
      <c r="L39" s="101">
        <f t="shared" si="8"/>
        <v>370.43983851127109</v>
      </c>
      <c r="M39" s="101">
        <f t="shared" si="8"/>
        <v>355.20684651195359</v>
      </c>
      <c r="N39" s="101">
        <f t="shared" si="8"/>
        <v>435.74404953922749</v>
      </c>
      <c r="O39" s="101">
        <f t="shared" si="8"/>
        <v>402.81953602197461</v>
      </c>
      <c r="P39" s="101">
        <f t="shared" si="8"/>
        <v>391.42320898926243</v>
      </c>
      <c r="Q39" s="101">
        <f t="shared" si="8"/>
        <v>390.57052191413999</v>
      </c>
      <c r="R39" s="101">
        <f t="shared" si="8"/>
        <v>393.39709044082366</v>
      </c>
      <c r="S39" s="101">
        <f t="shared" si="8"/>
        <v>391.81611106141605</v>
      </c>
      <c r="T39" s="101">
        <f t="shared" ref="T39:Y39" si="9">+T9/52.1429</f>
        <v>399.29935259600757</v>
      </c>
      <c r="U39" s="101">
        <f t="shared" si="9"/>
        <v>413.7351967004106</v>
      </c>
      <c r="V39" s="101">
        <f t="shared" si="9"/>
        <v>427.86129693062378</v>
      </c>
      <c r="W39" s="101">
        <f t="shared" si="9"/>
        <v>437.97643198528539</v>
      </c>
      <c r="X39" s="101">
        <f t="shared" si="9"/>
        <v>449.53560819217716</v>
      </c>
      <c r="Y39" s="101">
        <f t="shared" si="9"/>
        <v>457.79651265212277</v>
      </c>
    </row>
    <row r="40" spans="1:25" x14ac:dyDescent="0.25">
      <c r="A40" s="95" t="str">
        <f>+A8</f>
        <v>Total revenue (excluding gains)</v>
      </c>
      <c r="B40" s="101">
        <f t="shared" ref="B40:S40" si="10">+B8/52.1429</f>
        <v>199.85460189553012</v>
      </c>
      <c r="C40" s="101">
        <f t="shared" si="10"/>
        <v>206.86642711867961</v>
      </c>
      <c r="D40" s="101">
        <f t="shared" si="10"/>
        <v>222.8942977076224</v>
      </c>
      <c r="E40" s="101">
        <f t="shared" si="10"/>
        <v>242.59834259284145</v>
      </c>
      <c r="F40" s="101">
        <f t="shared" si="10"/>
        <v>269.58686224311998</v>
      </c>
      <c r="G40" s="101">
        <f t="shared" si="10"/>
        <v>278.09196962814508</v>
      </c>
      <c r="H40" s="101">
        <f t="shared" si="10"/>
        <v>302.15695701064845</v>
      </c>
      <c r="I40" s="101">
        <f t="shared" si="10"/>
        <v>326.25760724678645</v>
      </c>
      <c r="J40" s="101">
        <f t="shared" si="10"/>
        <v>337.57512344839017</v>
      </c>
      <c r="K40" s="101">
        <f t="shared" si="10"/>
        <v>365.73278393302849</v>
      </c>
      <c r="L40" s="101">
        <f t="shared" si="10"/>
        <v>353.08745015726936</v>
      </c>
      <c r="M40" s="101">
        <f t="shared" si="10"/>
        <v>327.3698720921401</v>
      </c>
      <c r="N40" s="101">
        <f t="shared" si="10"/>
        <v>355.26911243253295</v>
      </c>
      <c r="O40" s="101">
        <f t="shared" si="10"/>
        <v>362.61850656997274</v>
      </c>
      <c r="P40" s="101">
        <f t="shared" si="10"/>
        <v>372.63413510552522</v>
      </c>
      <c r="Q40" s="101">
        <f t="shared" si="10"/>
        <v>379.33080708411586</v>
      </c>
      <c r="R40" s="101">
        <f t="shared" si="10"/>
        <v>396.48928371153659</v>
      </c>
      <c r="S40" s="101">
        <f t="shared" si="10"/>
        <v>401.12930377218959</v>
      </c>
      <c r="T40" s="101">
        <f t="shared" ref="T40:Y40" si="11">+T8/52.1429</f>
        <v>416.96162408351768</v>
      </c>
      <c r="U40" s="101">
        <f t="shared" si="11"/>
        <v>425.36971746103319</v>
      </c>
      <c r="V40" s="101">
        <f t="shared" si="11"/>
        <v>440.44954757246251</v>
      </c>
      <c r="W40" s="101">
        <f t="shared" si="11"/>
        <v>458.78795089656234</v>
      </c>
      <c r="X40" s="101">
        <f t="shared" si="11"/>
        <v>475.88198985066879</v>
      </c>
      <c r="Y40" s="101">
        <f t="shared" si="11"/>
        <v>492.47264261605488</v>
      </c>
    </row>
    <row r="41" spans="1:25" x14ac:dyDescent="0.25">
      <c r="T41" s="101"/>
      <c r="U41" s="101"/>
      <c r="V41" s="101"/>
      <c r="W41" s="101"/>
      <c r="X41" s="101"/>
      <c r="Y41" s="101"/>
    </row>
    <row r="42" spans="1:25" x14ac:dyDescent="0.25">
      <c r="A42" s="95"/>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row>
    <row r="43" spans="1:25" x14ac:dyDescent="0.25">
      <c r="A43" s="95"/>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row>
    <row r="44" spans="1:25" x14ac:dyDescent="0.25">
      <c r="A44" s="95"/>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row>
    <row r="45" spans="1:25" x14ac:dyDescent="0.25">
      <c r="A45" s="95"/>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row>
  </sheetData>
  <mergeCells count="2">
    <mergeCell ref="A2:A4"/>
    <mergeCell ref="A32:A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X10" sqref="X10"/>
    </sheetView>
  </sheetViews>
  <sheetFormatPr defaultRowHeight="15" x14ac:dyDescent="0.25"/>
  <sheetData>
    <row r="1" spans="1:27" x14ac:dyDescent="0.25">
      <c r="A1" s="121" t="s">
        <v>74</v>
      </c>
      <c r="B1" s="121"/>
      <c r="C1" s="121"/>
      <c r="D1" s="121"/>
      <c r="E1" s="121"/>
      <c r="F1" s="121"/>
      <c r="G1" s="121"/>
      <c r="H1" s="121"/>
      <c r="I1" s="121"/>
      <c r="J1" s="121"/>
      <c r="K1" s="121"/>
      <c r="L1" s="121"/>
      <c r="M1" s="121"/>
      <c r="N1" s="121"/>
      <c r="O1" s="121"/>
      <c r="P1" s="121"/>
      <c r="Q1" s="121"/>
      <c r="R1" s="121"/>
    </row>
    <row r="2" spans="1:27" x14ac:dyDescent="0.25">
      <c r="A2" s="121"/>
      <c r="B2" s="111">
        <f>+'Nominal per person (Total)'!B2</f>
        <v>36312</v>
      </c>
      <c r="C2" s="111">
        <f>+'Nominal per person (Total)'!C2</f>
        <v>36678</v>
      </c>
      <c r="D2" s="111">
        <f>+'Nominal per person (Total)'!D2</f>
        <v>37043</v>
      </c>
      <c r="E2" s="111">
        <f>+'Nominal per person (Total)'!E2</f>
        <v>37408</v>
      </c>
      <c r="F2" s="111">
        <f>+'Nominal per person (Total)'!F2</f>
        <v>37773</v>
      </c>
      <c r="G2" s="111">
        <f>+'Nominal per person (Total)'!G2</f>
        <v>38139</v>
      </c>
      <c r="H2" s="111">
        <f>+'Nominal per person (Total)'!H2</f>
        <v>38504</v>
      </c>
      <c r="I2" s="111">
        <f>+'Nominal per person (Total)'!I2</f>
        <v>38869</v>
      </c>
      <c r="J2" s="111">
        <f>+'Nominal per person (Total)'!J2</f>
        <v>39234</v>
      </c>
      <c r="K2" s="111">
        <f>+'Nominal per person (Total)'!K2</f>
        <v>39600</v>
      </c>
      <c r="L2" s="111">
        <f>+'Nominal per person (Total)'!L2</f>
        <v>39965</v>
      </c>
      <c r="M2" s="111">
        <f>+'Nominal per person (Total)'!M2</f>
        <v>40330</v>
      </c>
      <c r="N2" s="111">
        <f>+'Nominal per person (Total)'!N2</f>
        <v>40695</v>
      </c>
      <c r="O2" s="111">
        <f>+'Nominal per person (Total)'!O2</f>
        <v>41061</v>
      </c>
      <c r="P2" s="111">
        <f>+'Nominal per person (Total)'!P2</f>
        <v>41426</v>
      </c>
      <c r="Q2" s="111">
        <f>+'Nominal per person (Total)'!Q2</f>
        <v>41791</v>
      </c>
      <c r="R2" s="111">
        <f>+'Nominal per person (Total)'!R2</f>
        <v>42156</v>
      </c>
      <c r="S2" s="111">
        <f>+'Nominal per person (Total)'!S2</f>
        <v>42522</v>
      </c>
      <c r="T2" s="111">
        <f>+'Nominal per person (Total)'!T2</f>
        <v>42887</v>
      </c>
      <c r="U2" s="111">
        <f>+'Nominal per person (Total)'!U2</f>
        <v>43252</v>
      </c>
      <c r="V2" s="111">
        <f>+'Nominal per person (Total)'!V2</f>
        <v>43617</v>
      </c>
      <c r="W2" s="111">
        <f>+'Nominal per person (Total)'!W2</f>
        <v>43983</v>
      </c>
      <c r="X2" s="111">
        <f>+'Nominal per person (Total)'!X2</f>
        <v>44348</v>
      </c>
      <c r="Y2" s="111">
        <f>+'Nominal per person (Total)'!Y2</f>
        <v>44713</v>
      </c>
    </row>
    <row r="3" spans="1:27" x14ac:dyDescent="0.25">
      <c r="A3" s="121" t="s">
        <v>75</v>
      </c>
      <c r="B3" s="121">
        <f>+'Total crown'!B3/Inflation!H$3</f>
        <v>46381.814427294768</v>
      </c>
      <c r="C3" s="121">
        <f>+'Total crown'!C3/Inflation!I$3</f>
        <v>48129.494090341963</v>
      </c>
      <c r="D3" s="121">
        <f>+'Total crown'!D3/Inflation!J$3</f>
        <v>50320.993746313528</v>
      </c>
      <c r="E3" s="121">
        <f>+'Total crown'!E3/Inflation!K$3</f>
        <v>48277.741203661579</v>
      </c>
      <c r="F3" s="121">
        <f>+'Total crown'!F3/Inflation!L$3</f>
        <v>52264.010923242793</v>
      </c>
      <c r="G3" s="121">
        <f>+'Total crown'!G3/Inflation!M$3</f>
        <v>54580.210653891161</v>
      </c>
      <c r="H3" s="121">
        <f>+'Total crown'!H3/Inflation!N$3</f>
        <v>58175.136333784081</v>
      </c>
      <c r="I3" s="121">
        <f>+'Total crown'!I3/Inflation!O$3</f>
        <v>62773.200000000004</v>
      </c>
      <c r="J3" s="121">
        <f>+'Total crown'!J3/Inflation!P$3</f>
        <v>62279.999977542568</v>
      </c>
      <c r="K3" s="121">
        <f>+'Total crown'!K3/Inflation!Q$3</f>
        <v>63757.210163236799</v>
      </c>
      <c r="L3" s="121">
        <f>+'Total crown'!L3/Inflation!R$3</f>
        <v>60105.457874236839</v>
      </c>
      <c r="M3" s="121">
        <f>+'Total crown'!M3/Inflation!S$3</f>
        <v>54973.976330783757</v>
      </c>
      <c r="N3" s="121">
        <f>+'Total crown'!N3/Inflation!T$3</f>
        <v>53028.176292497228</v>
      </c>
      <c r="O3" s="121">
        <f>+'Total crown'!O3/Inflation!U$3</f>
        <v>56162.67123759284</v>
      </c>
      <c r="P3" s="121">
        <f>+'Total crown'!P3/Inflation!V$3</f>
        <v>59320.408136054597</v>
      </c>
      <c r="Q3" s="121">
        <f>+'Total crown'!Q3/Inflation!W$3</f>
        <v>61133.723822716544</v>
      </c>
      <c r="R3" s="121">
        <f>+'Total crown'!R3/Inflation!X$3</f>
        <v>66055</v>
      </c>
      <c r="S3" s="164">
        <f>+'Total crown'!S3/Inflation!Y$3</f>
        <v>69378.921121237625</v>
      </c>
      <c r="T3" s="164">
        <f>+'Total crown'!T3/Inflation!Z$3</f>
        <v>73383.034243806003</v>
      </c>
      <c r="U3" s="164">
        <f>+'Total crown'!U3/Inflation!AA$3</f>
        <v>74778.227154532535</v>
      </c>
      <c r="V3" s="164">
        <f>+'Total crown'!V3/Inflation!AB$3</f>
        <v>77374.609835462426</v>
      </c>
      <c r="W3" s="164">
        <f>+'Total crown'!W3/Inflation!AC$3</f>
        <v>80431.075501495754</v>
      </c>
      <c r="X3" s="164">
        <f>+'Total crown'!X3/Inflation!AD$3</f>
        <v>83495.559164849998</v>
      </c>
      <c r="Y3" s="164">
        <f>+'Total crown'!Y3/Inflation!AE$3</f>
        <v>86137.321123012705</v>
      </c>
      <c r="Z3" s="164"/>
      <c r="AA3" s="164"/>
    </row>
    <row r="4" spans="1:27" x14ac:dyDescent="0.25">
      <c r="A4" s="121" t="s">
        <v>76</v>
      </c>
      <c r="B4" s="121">
        <f>+'Total crown'!B4/Inflation!H$3</f>
        <v>11264.525835200375</v>
      </c>
      <c r="C4" s="121">
        <f>+'Total crown'!C4/Inflation!I$3</f>
        <v>10714.099560485083</v>
      </c>
      <c r="D4" s="121">
        <f>+'Total crown'!D4/Inflation!J$3</f>
        <v>11457.763814452481</v>
      </c>
      <c r="E4" s="121">
        <f>+'Total crown'!E4/Inflation!K$3</f>
        <v>18306.82980681867</v>
      </c>
      <c r="F4" s="121">
        <f>+'Total crown'!F4/Inflation!L$3</f>
        <v>22103.025874667546</v>
      </c>
      <c r="G4" s="121">
        <f>+'Total crown'!G4/Inflation!M$3</f>
        <v>21480.573315294703</v>
      </c>
      <c r="H4" s="121">
        <f>+'Total crown'!H4/Inflation!N$3</f>
        <v>23092.125260152327</v>
      </c>
      <c r="I4" s="121">
        <f>+'Total crown'!I4/Inflation!O$3</f>
        <v>22653.600000000002</v>
      </c>
      <c r="J4" s="121">
        <f>+'Total crown'!J4/Inflation!P$3</f>
        <v>25189.411755622881</v>
      </c>
      <c r="K4" s="121">
        <f>+'Total crown'!K4/Inflation!Q$3</f>
        <v>28120.263894993197</v>
      </c>
      <c r="L4" s="121">
        <f>+'Total crown'!L4/Inflation!R$3</f>
        <v>27829.787217787747</v>
      </c>
      <c r="M4" s="121">
        <f>+'Total crown'!M4/Inflation!S$3</f>
        <v>26117.197446839269</v>
      </c>
      <c r="N4" s="121">
        <f>+'Total crown'!N4/Inflation!T$3</f>
        <v>31202.074315120612</v>
      </c>
      <c r="O4" s="121">
        <f>+'Total crown'!O4/Inflation!U$3</f>
        <v>29466.780824392212</v>
      </c>
      <c r="P4" s="121">
        <f>+'Total crown'!P4/Inflation!V$3</f>
        <v>28752.040803137756</v>
      </c>
      <c r="Q4" s="121">
        <f>+'Total crown'!Q4/Inflation!W$3</f>
        <v>28438.493711449475</v>
      </c>
      <c r="R4" s="121">
        <f>+'Total crown'!R4/Inflation!X$3</f>
        <v>28958</v>
      </c>
      <c r="S4" s="164">
        <f>+'Total crown'!S4/Inflation!Y$3</f>
        <v>28372.780066388888</v>
      </c>
      <c r="T4" s="164">
        <f>+'Total crown'!T4/Inflation!Z$3</f>
        <v>28633.605214787989</v>
      </c>
      <c r="U4" s="164">
        <f>+'Total crown'!U4/Inflation!AA$3</f>
        <v>29649.507219479288</v>
      </c>
      <c r="V4" s="164">
        <f>+'Total crown'!V4/Inflation!AB$3</f>
        <v>30018.199128658969</v>
      </c>
      <c r="W4" s="164">
        <f>+'Total crown'!W4/Inflation!AC$3</f>
        <v>30736.312838158654</v>
      </c>
      <c r="X4" s="164">
        <f>+'Total crown'!X4/Inflation!AD$3</f>
        <v>30929.853175199998</v>
      </c>
      <c r="Y4" s="164">
        <f>+'Total crown'!Y4/Inflation!AE$3</f>
        <v>31162.383085181486</v>
      </c>
      <c r="Z4" s="164"/>
      <c r="AA4" s="164"/>
    </row>
    <row r="5" spans="1:27" x14ac:dyDescent="0.25">
      <c r="A5" s="121" t="s">
        <v>77</v>
      </c>
      <c r="B5" s="121">
        <f>+'Total crown'!B5/Inflation!H$3</f>
        <v>57646.340262495149</v>
      </c>
      <c r="C5" s="121">
        <f>+'Total crown'!C5/Inflation!I$3</f>
        <v>58843.593650827046</v>
      </c>
      <c r="D5" s="121">
        <f>+'Total crown'!D5/Inflation!J$3</f>
        <v>61778.757560766011</v>
      </c>
      <c r="E5" s="121">
        <f>+'Total crown'!E5/Inflation!K$3</f>
        <v>66584.571010480242</v>
      </c>
      <c r="F5" s="121">
        <f>+'Total crown'!F5/Inflation!L$3</f>
        <v>74367.036797910347</v>
      </c>
      <c r="G5" s="121">
        <f>+'Total crown'!G5/Inflation!M$3</f>
        <v>76060.783969185868</v>
      </c>
      <c r="H5" s="121">
        <f>+'Total crown'!H5/Inflation!N$3</f>
        <v>81267.261593936404</v>
      </c>
      <c r="I5" s="121">
        <f>+'Total crown'!I5/Inflation!O$3</f>
        <v>85426.8</v>
      </c>
      <c r="J5" s="121">
        <f>+'Total crown'!J5/Inflation!P$3</f>
        <v>87469.411733165456</v>
      </c>
      <c r="K5" s="121">
        <f>+'Total crown'!K5/Inflation!Q$3</f>
        <v>91877.474058229986</v>
      </c>
      <c r="L5" s="121">
        <f>+'Total crown'!L5/Inflation!R$3</f>
        <v>87935.245092024576</v>
      </c>
      <c r="M5" s="121">
        <f>+'Total crown'!M5/Inflation!S$3</f>
        <v>81091.173777623029</v>
      </c>
      <c r="N5" s="121">
        <f>+'Total crown'!N5/Inflation!T$3</f>
        <v>84230.25060761784</v>
      </c>
      <c r="O5" s="121">
        <f>+'Total crown'!O5/Inflation!U$3</f>
        <v>85629.452061985052</v>
      </c>
      <c r="P5" s="121">
        <f>+'Total crown'!P5/Inflation!V$3</f>
        <v>88072.448939192356</v>
      </c>
      <c r="Q5" s="121">
        <f>+'Total crown'!Q5/Inflation!W$3</f>
        <v>89572.217534166019</v>
      </c>
      <c r="R5" s="121">
        <f>+'Total crown'!R5/Inflation!X$3</f>
        <v>95013</v>
      </c>
      <c r="S5" s="164">
        <f>+'Total crown'!S5/Inflation!Y$3</f>
        <v>97751.701187626502</v>
      </c>
      <c r="T5" s="164">
        <f>+'Total crown'!T5/Inflation!Z$3</f>
        <v>102016.639458594</v>
      </c>
      <c r="U5" s="164">
        <f>+'Total crown'!U5/Inflation!AA$3</f>
        <v>104427.73437401182</v>
      </c>
      <c r="V5" s="164">
        <f>+'Total crown'!V5/Inflation!AB$3</f>
        <v>107392.80896412139</v>
      </c>
      <c r="W5" s="164">
        <f>+'Total crown'!W5/Inflation!AC$3</f>
        <v>111167.38833965441</v>
      </c>
      <c r="X5" s="164">
        <f>+'Total crown'!X5/Inflation!AD$3</f>
        <v>114425.41234005</v>
      </c>
      <c r="Y5" s="164">
        <f>+'Total crown'!Y5/Inflation!AE$3</f>
        <v>117299.70420819419</v>
      </c>
      <c r="Z5" s="164"/>
      <c r="AA5" s="164"/>
    </row>
    <row r="6" spans="1:27" x14ac:dyDescent="0.25">
      <c r="A6" s="121" t="s">
        <v>78</v>
      </c>
      <c r="B6" s="121">
        <f>+'Total crown'!B6/Inflation!H$3</f>
        <v>57461.713062386494</v>
      </c>
      <c r="C6" s="121">
        <f>+'Total crown'!C6/Inflation!I$3</f>
        <v>58004.201698362078</v>
      </c>
      <c r="D6" s="121">
        <f>+'Total crown'!D6/Inflation!J$3</f>
        <v>59831.544956231031</v>
      </c>
      <c r="E6" s="121">
        <f>+'Total crown'!E6/Inflation!K$3</f>
        <v>63290.226406993715</v>
      </c>
      <c r="F6" s="121">
        <f>+'Total crown'!F6/Inflation!L$3</f>
        <v>68631.719428067969</v>
      </c>
      <c r="G6" s="121">
        <f>+'Total crown'!G6/Inflation!M$3</f>
        <v>68908.946873918321</v>
      </c>
      <c r="H6" s="121">
        <f>+'Total crown'!H6/Inflation!N$3</f>
        <v>72440.671974315861</v>
      </c>
      <c r="I6" s="121">
        <f>+'Total crown'!I6/Inflation!O$3</f>
        <v>76917.600000000006</v>
      </c>
      <c r="J6" s="121">
        <f>+'Total crown'!J6/Inflation!P$3</f>
        <v>80575.294088592564</v>
      </c>
      <c r="K6" s="121">
        <f>+'Total crown'!K6/Inflation!Q$3</f>
        <v>85501.979243602764</v>
      </c>
      <c r="L6" s="121">
        <f>+'Total crown'!L6/Inflation!R$3</f>
        <v>92256.799206059193</v>
      </c>
      <c r="M6" s="121">
        <f>+'Total crown'!M6/Inflation!S$3</f>
        <v>87986.533193852374</v>
      </c>
      <c r="N6" s="121">
        <f>+'Total crown'!N6/Inflation!T$3</f>
        <v>103309.93944889422</v>
      </c>
      <c r="O6" s="121">
        <f>+'Total crown'!O6/Inflation!U$3</f>
        <v>95122.602747713725</v>
      </c>
      <c r="P6" s="121">
        <f>+'Total crown'!P6/Inflation!V$3</f>
        <v>92513.265263685927</v>
      </c>
      <c r="Q6" s="121">
        <f>+'Total crown'!Q6/Inflation!W$3</f>
        <v>92226.276110414648</v>
      </c>
      <c r="R6" s="121">
        <f>+'Total crown'!R6/Inflation!X$3</f>
        <v>94272</v>
      </c>
      <c r="S6" s="164">
        <f>+'Total crown'!S6/Inflation!Y$3</f>
        <v>95482.15762048951</v>
      </c>
      <c r="T6" s="164">
        <f>+'Total crown'!T6/Inflation!Z$3</f>
        <v>97695.269149464031</v>
      </c>
      <c r="U6" s="164">
        <f>+'Total crown'!U6/Inflation!AA$3</f>
        <v>101571.47405813608</v>
      </c>
      <c r="V6" s="164">
        <f>+'Total crown'!V6/Inflation!AB$3</f>
        <v>104323.47309166472</v>
      </c>
      <c r="W6" s="164">
        <f>+'Total crown'!W6/Inflation!AC$3</f>
        <v>106124.6181443456</v>
      </c>
      <c r="X6" s="164">
        <f>+'Total crown'!X6/Inflation!AD$3</f>
        <v>108090.44768655</v>
      </c>
      <c r="Y6" s="164">
        <f>+'Total crown'!Y6/Inflation!AE$3</f>
        <v>109040.36260041015</v>
      </c>
      <c r="Z6" s="164"/>
      <c r="AA6" s="164"/>
    </row>
    <row r="7" spans="1:27" x14ac:dyDescent="0.25">
      <c r="A7" s="121" t="s">
        <v>79</v>
      </c>
      <c r="B7" s="121">
        <f>+'Total crown'!B7/Inflation!H$3</f>
        <v>184.62720010864942</v>
      </c>
      <c r="C7" s="121">
        <f>+'Total crown'!C7/Inflation!I$3</f>
        <v>839.39195246497036</v>
      </c>
      <c r="D7" s="121">
        <f>+'Total crown'!D7/Inflation!J$3</f>
        <v>1947.2126045349796</v>
      </c>
      <c r="E7" s="121">
        <f>+'Total crown'!E7/Inflation!K$3</f>
        <v>3294.3446034865296</v>
      </c>
      <c r="F7" s="121">
        <f>+'Total crown'!F7/Inflation!L$3</f>
        <v>5735.3173698423743</v>
      </c>
      <c r="G7" s="121">
        <f>+'Total crown'!G7/Inflation!M$3</f>
        <v>7151.8370952675468</v>
      </c>
      <c r="H7" s="121">
        <f>+'Total crown'!H7/Inflation!N$3</f>
        <v>8826.5896196205522</v>
      </c>
      <c r="I7" s="121">
        <f>+'Total crown'!I7/Inflation!O$3</f>
        <v>8509.2000000000007</v>
      </c>
      <c r="J7" s="121">
        <f>+'Total crown'!J7/Inflation!P$3</f>
        <v>6894.1176445728861</v>
      </c>
      <c r="K7" s="121">
        <f>+'Total crown'!K7/Inflation!Q$3</f>
        <v>6375.4948146272227</v>
      </c>
      <c r="L7" s="121">
        <f>+'Total crown'!L7/Inflation!R$3</f>
        <v>-4321.5541140346104</v>
      </c>
      <c r="M7" s="121">
        <f>+'Total crown'!M7/Inflation!S$3</f>
        <v>-6895.3594162293566</v>
      </c>
      <c r="N7" s="121">
        <f>+'Total crown'!N7/Inflation!T$3</f>
        <v>-19079.688841276384</v>
      </c>
      <c r="O7" s="121">
        <f>+'Total crown'!O7/Inflation!U$3</f>
        <v>-9493.1506857286713</v>
      </c>
      <c r="P7" s="121">
        <f>+'Total crown'!P7/Inflation!V$3</f>
        <v>-4504.0816305870103</v>
      </c>
      <c r="Q7" s="121">
        <f>+'Total crown'!Q7/Inflation!W$3</f>
        <v>-2945.2719652430133</v>
      </c>
      <c r="R7" s="121">
        <f>+'Total crown'!R7/Inflation!X$3</f>
        <v>414.00000000001387</v>
      </c>
      <c r="S7" s="164">
        <f>+'Total crown'!S7/Inflation!Y$3</f>
        <v>1823.4024885598385</v>
      </c>
      <c r="T7" s="164">
        <f>+'Total crown'!T7/Inflation!Z$3</f>
        <v>3982.7079927179784</v>
      </c>
      <c r="U7" s="164">
        <f>+'Total crown'!U7/Inflation!AA$3</f>
        <v>2452.7737285029616</v>
      </c>
      <c r="V7" s="164">
        <f>+'Total crown'!V7/Inflation!AB$3</f>
        <v>2666.6918117687951</v>
      </c>
      <c r="W7" s="164">
        <f>+'Total crown'!W7/Inflation!AC$3</f>
        <v>4601.8975077790656</v>
      </c>
      <c r="X7" s="164">
        <f>+'Total crown'!X7/Inflation!AD$3</f>
        <v>5894.5078836000084</v>
      </c>
      <c r="Y7" s="164">
        <f>+'Total crown'!Y7/Inflation!AE$3</f>
        <v>7809.9140506769445</v>
      </c>
      <c r="Z7" s="164"/>
      <c r="AA7" s="16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opLeftCell="A7" workbookViewId="0">
      <selection activeCell="W36" sqref="W36"/>
    </sheetView>
  </sheetViews>
  <sheetFormatPr defaultColWidth="9.140625" defaultRowHeight="15" x14ac:dyDescent="0.25"/>
  <cols>
    <col min="1" max="1" width="42.28515625" style="82" customWidth="1"/>
    <col min="2" max="5" width="9.140625" style="82"/>
    <col min="6" max="8" width="10.5703125" style="82" customWidth="1"/>
    <col min="9" max="10" width="10.7109375" style="82" customWidth="1"/>
    <col min="11" max="22" width="10.5703125" style="82" customWidth="1"/>
    <col min="23" max="23" width="10.7109375" style="82" customWidth="1"/>
    <col min="24" max="24" width="10.5703125" style="82" customWidth="1"/>
    <col min="25" max="16384" width="9.140625" style="82"/>
  </cols>
  <sheetData>
    <row r="1" spans="1:25" x14ac:dyDescent="0.25">
      <c r="A1" s="82" t="s">
        <v>50</v>
      </c>
      <c r="B1" s="83"/>
      <c r="C1" s="83"/>
      <c r="D1" s="83"/>
      <c r="E1" s="83"/>
      <c r="F1" s="83"/>
      <c r="G1" s="83"/>
      <c r="H1" s="83"/>
      <c r="I1" s="83"/>
      <c r="J1" s="83"/>
      <c r="K1" s="83"/>
      <c r="L1" s="83"/>
      <c r="M1" s="83"/>
      <c r="N1" s="83"/>
      <c r="O1" s="83"/>
      <c r="P1" s="83"/>
      <c r="Q1" s="83"/>
      <c r="R1" s="83"/>
      <c r="S1" s="83"/>
      <c r="T1" s="83"/>
      <c r="U1" s="83"/>
      <c r="V1" s="83"/>
      <c r="W1" s="83"/>
      <c r="X1" s="83"/>
      <c r="Y1" s="83"/>
    </row>
    <row r="2" spans="1:25" s="87" customFormat="1" x14ac:dyDescent="0.25">
      <c r="A2" s="193" t="s">
        <v>74</v>
      </c>
      <c r="B2" s="84">
        <v>36312</v>
      </c>
      <c r="C2" s="85">
        <v>36678</v>
      </c>
      <c r="D2" s="85">
        <v>37043</v>
      </c>
      <c r="E2" s="85">
        <v>37408</v>
      </c>
      <c r="F2" s="85">
        <v>37773</v>
      </c>
      <c r="G2" s="85">
        <v>38139</v>
      </c>
      <c r="H2" s="85">
        <v>38504</v>
      </c>
      <c r="I2" s="85">
        <v>38869</v>
      </c>
      <c r="J2" s="85">
        <v>39234</v>
      </c>
      <c r="K2" s="85">
        <v>39600</v>
      </c>
      <c r="L2" s="85">
        <v>39965</v>
      </c>
      <c r="M2" s="85">
        <v>40330</v>
      </c>
      <c r="N2" s="85">
        <v>40695</v>
      </c>
      <c r="O2" s="85">
        <v>41061</v>
      </c>
      <c r="P2" s="85">
        <v>41426</v>
      </c>
      <c r="Q2" s="85">
        <v>41791</v>
      </c>
      <c r="R2" s="85">
        <v>42156</v>
      </c>
      <c r="S2" s="85">
        <v>42522</v>
      </c>
      <c r="T2" s="85">
        <f>EDATE(S2,12)</f>
        <v>42887</v>
      </c>
      <c r="U2" s="85">
        <f t="shared" ref="U2:X2" si="0">EDATE(T2,12)</f>
        <v>43252</v>
      </c>
      <c r="V2" s="85">
        <f t="shared" si="0"/>
        <v>43617</v>
      </c>
      <c r="W2" s="85">
        <f t="shared" si="0"/>
        <v>43983</v>
      </c>
      <c r="X2" s="85">
        <f t="shared" si="0"/>
        <v>44348</v>
      </c>
      <c r="Y2" s="85">
        <f>EDATE(X2,12)</f>
        <v>44713</v>
      </c>
    </row>
    <row r="3" spans="1:25" x14ac:dyDescent="0.25">
      <c r="A3" s="194"/>
      <c r="B3" s="88" t="s">
        <v>24</v>
      </c>
      <c r="C3" s="89" t="s">
        <v>24</v>
      </c>
      <c r="D3" s="89" t="s">
        <v>24</v>
      </c>
      <c r="E3" s="89" t="s">
        <v>24</v>
      </c>
      <c r="F3" s="89" t="s">
        <v>24</v>
      </c>
      <c r="G3" s="89" t="s">
        <v>24</v>
      </c>
      <c r="H3" s="89" t="s">
        <v>24</v>
      </c>
      <c r="I3" s="89" t="s">
        <v>24</v>
      </c>
      <c r="J3" s="89" t="s">
        <v>24</v>
      </c>
      <c r="K3" s="89" t="s">
        <v>24</v>
      </c>
      <c r="L3" s="89" t="s">
        <v>24</v>
      </c>
      <c r="M3" s="89" t="s">
        <v>24</v>
      </c>
      <c r="N3" s="89" t="s">
        <v>24</v>
      </c>
      <c r="O3" s="89" t="s">
        <v>24</v>
      </c>
      <c r="P3" s="89" t="s">
        <v>24</v>
      </c>
      <c r="Q3" s="90" t="s">
        <v>24</v>
      </c>
      <c r="R3" s="90" t="s">
        <v>24</v>
      </c>
      <c r="S3" s="90" t="s">
        <v>24</v>
      </c>
      <c r="T3" s="90" t="s">
        <v>24</v>
      </c>
      <c r="U3" s="90" t="s">
        <v>24</v>
      </c>
      <c r="V3" s="90" t="s">
        <v>24</v>
      </c>
      <c r="W3" s="90" t="s">
        <v>24</v>
      </c>
      <c r="X3" s="90" t="s">
        <v>24</v>
      </c>
      <c r="Y3" s="90" t="s">
        <v>24</v>
      </c>
    </row>
    <row r="4" spans="1:25" x14ac:dyDescent="0.25">
      <c r="A4" s="194"/>
      <c r="B4" s="88" t="s">
        <v>51</v>
      </c>
      <c r="C4" s="88" t="s">
        <v>51</v>
      </c>
      <c r="D4" s="88" t="s">
        <v>51</v>
      </c>
      <c r="E4" s="88" t="s">
        <v>51</v>
      </c>
      <c r="F4" s="88" t="s">
        <v>51</v>
      </c>
      <c r="G4" s="88" t="s">
        <v>51</v>
      </c>
      <c r="H4" s="88" t="s">
        <v>51</v>
      </c>
      <c r="I4" s="88" t="s">
        <v>51</v>
      </c>
      <c r="J4" s="88" t="s">
        <v>51</v>
      </c>
      <c r="K4" s="88" t="s">
        <v>51</v>
      </c>
      <c r="L4" s="88" t="s">
        <v>51</v>
      </c>
      <c r="M4" s="88" t="s">
        <v>51</v>
      </c>
      <c r="N4" s="88" t="s">
        <v>51</v>
      </c>
      <c r="O4" s="88" t="s">
        <v>51</v>
      </c>
      <c r="P4" s="88" t="s">
        <v>51</v>
      </c>
      <c r="Q4" s="88" t="s">
        <v>51</v>
      </c>
      <c r="R4" s="88" t="s">
        <v>51</v>
      </c>
      <c r="S4" s="88" t="s">
        <v>51</v>
      </c>
      <c r="T4" s="88" t="s">
        <v>51</v>
      </c>
      <c r="U4" s="88" t="s">
        <v>51</v>
      </c>
      <c r="V4" s="88" t="s">
        <v>51</v>
      </c>
      <c r="W4" s="88" t="s">
        <v>51</v>
      </c>
      <c r="X4" s="88" t="s">
        <v>51</v>
      </c>
      <c r="Y4" s="88" t="s">
        <v>51</v>
      </c>
    </row>
    <row r="5" spans="1:25" s="94" customFormat="1" ht="15.75" customHeight="1" x14ac:dyDescent="0.25">
      <c r="A5" s="91"/>
      <c r="B5" s="92"/>
      <c r="C5" s="93"/>
      <c r="D5" s="93"/>
      <c r="E5" s="93"/>
      <c r="F5" s="93"/>
      <c r="G5" s="93"/>
      <c r="H5" s="93"/>
      <c r="I5" s="93"/>
      <c r="J5" s="93"/>
      <c r="K5" s="93"/>
      <c r="L5" s="93"/>
      <c r="M5" s="93"/>
      <c r="N5" s="93"/>
      <c r="O5" s="93"/>
      <c r="P5" s="93"/>
      <c r="Q5" s="93"/>
      <c r="R5" s="93"/>
      <c r="S5" s="93"/>
      <c r="T5" s="93"/>
      <c r="U5" s="93"/>
      <c r="V5" s="93"/>
      <c r="W5" s="93"/>
      <c r="X5" s="93"/>
      <c r="Y5" s="93"/>
    </row>
    <row r="6" spans="1:25" s="97" customFormat="1" x14ac:dyDescent="0.25">
      <c r="A6" s="95" t="str">
        <f>+'Total crown'!A3</f>
        <v>Taxation revenue</v>
      </c>
      <c r="B6" s="96">
        <f>IFERROR('Real (total)'!B3*1000000/Population!J$2,0)</f>
        <v>12094.029993297376</v>
      </c>
      <c r="C6" s="96">
        <f>IFERROR('Real (total)'!C3*1000000/Population!K$2,0)</f>
        <v>12476.214866459799</v>
      </c>
      <c r="D6" s="96">
        <f>IFERROR('Real (total)'!D3*1000000/Population!L$2,0)</f>
        <v>12967.6571952876</v>
      </c>
      <c r="E6" s="96">
        <f>IFERROR('Real (total)'!E3*1000000/Population!M$2,0)</f>
        <v>12226.856072853381</v>
      </c>
      <c r="F6" s="96">
        <f>IFERROR('Real (total)'!F3*1000000/Population!N$2,0)</f>
        <v>12977.754003586311</v>
      </c>
      <c r="G6" s="96">
        <f>IFERROR('Real (total)'!G3*1000000/Population!O$2,0)</f>
        <v>13352.956734896919</v>
      </c>
      <c r="H6" s="96">
        <f>IFERROR('Real (total)'!H3*1000000/Population!P$2,0)</f>
        <v>14072.700436339554</v>
      </c>
      <c r="I6" s="96">
        <f>IFERROR('Real (total)'!I3*1000000/Population!Q$2,0)</f>
        <v>15000.896136575995</v>
      </c>
      <c r="J6" s="96">
        <f>IFERROR('Real (total)'!J3*1000000/Population!R$2,0)</f>
        <v>14744.806877487077</v>
      </c>
      <c r="K6" s="96">
        <f>IFERROR('Real (total)'!K3*1000000/Population!S$2,0)</f>
        <v>14967.359625150961</v>
      </c>
      <c r="L6" s="96">
        <f>IFERROR('Real (total)'!L3*1000000/Population!T$2,0)</f>
        <v>13969.599212157524</v>
      </c>
      <c r="M6" s="96">
        <f>IFERROR('Real (total)'!M3*1000000/Population!U$2,0)</f>
        <v>12635.749512324253</v>
      </c>
      <c r="N6" s="96">
        <f>IFERROR('Real (total)'!N3*1000000/Population!V$2,0)</f>
        <v>12095.925905628284</v>
      </c>
      <c r="O6" s="96">
        <f>IFERROR('Real (total)'!O3*1000000/Population!W$2,0)</f>
        <v>12741.135676113059</v>
      </c>
      <c r="P6" s="96">
        <f>IFERROR('Real (total)'!P3*1000000/Population!X$2,0)</f>
        <v>13354.136137424775</v>
      </c>
      <c r="Q6" s="96">
        <f>IFERROR('Real (total)'!Q3*1000000/Population!Y$2,0)</f>
        <v>13556.081199088307</v>
      </c>
      <c r="R6" s="96">
        <f>IFERROR('Real (total)'!R3*1000000/Population!Z$2,0)</f>
        <v>14373.062068215198</v>
      </c>
      <c r="S6" s="96">
        <f>IFERROR('Total crown'!S3*1000000/Population!AA$2,0)</f>
        <v>14845.088429575964</v>
      </c>
      <c r="T6" s="96">
        <f>IFERROR('Total crown'!T3*1000000/Population!AB$2,0)</f>
        <v>15639.249880055904</v>
      </c>
      <c r="U6" s="96">
        <f>IFERROR('Total crown'!U3*1000000/Population!AC$2,0)</f>
        <v>15882.580273477743</v>
      </c>
      <c r="V6" s="96">
        <f>IFERROR('Total crown'!V3*1000000/Population!AD$2,0)</f>
        <v>16546.822941432452</v>
      </c>
      <c r="W6" s="96">
        <f>IFERROR('Total crown'!W3*1000000/Population!AE$2,0)</f>
        <v>17308.269869146759</v>
      </c>
      <c r="X6" s="96">
        <f>IFERROR('Total crown'!X3*1000000/Population!AF$2,0)</f>
        <v>18106.534715967235</v>
      </c>
      <c r="Y6" s="96">
        <f>IFERROR('Total crown'!Y3*1000000/Population!AG$2,0)</f>
        <v>18856.962415184502</v>
      </c>
    </row>
    <row r="7" spans="1:25" s="98" customFormat="1" x14ac:dyDescent="0.25">
      <c r="A7" s="95" t="str">
        <f>+'Total crown'!A4</f>
        <v>Other revenue</v>
      </c>
      <c r="B7" s="96">
        <f>IFERROR('Real (total)'!B4*1000000/Population!J$2,0)</f>
        <v>2937.2182824959909</v>
      </c>
      <c r="C7" s="96">
        <f>IFERROR('Real (total)'!C4*1000000/Population!K$2,0)</f>
        <v>2777.3283460313355</v>
      </c>
      <c r="D7" s="96">
        <f>IFERROR('Real (total)'!D4*1000000/Population!L$2,0)</f>
        <v>2952.6514146250433</v>
      </c>
      <c r="E7" s="96">
        <f>IFERROR('Real (total)'!E4*1000000/Population!M$2,0)</f>
        <v>4636.401116074122</v>
      </c>
      <c r="F7" s="96">
        <f>IFERROR('Real (total)'!F4*1000000/Population!N$2,0)</f>
        <v>5488.4351099194346</v>
      </c>
      <c r="G7" s="96">
        <f>IFERROR('Real (total)'!G4*1000000/Population!O$2,0)</f>
        <v>5255.1861321821907</v>
      </c>
      <c r="H7" s="96">
        <f>IFERROR('Real (total)'!H4*1000000/Population!P$2,0)</f>
        <v>5586.0386705416977</v>
      </c>
      <c r="I7" s="96">
        <f>IFERROR('Real (total)'!I4*1000000/Population!Q$2,0)</f>
        <v>5413.5252101141568</v>
      </c>
      <c r="J7" s="96">
        <f>IFERROR('Real (total)'!J4*1000000/Population!R$2,0)</f>
        <v>5963.6000614657878</v>
      </c>
      <c r="K7" s="96">
        <f>IFERROR('Real (total)'!K4*1000000/Population!S$2,0)</f>
        <v>6601.3883197354771</v>
      </c>
      <c r="L7" s="96">
        <f>IFERROR('Real (total)'!L4*1000000/Population!T$2,0)</f>
        <v>6468.1476082517147</v>
      </c>
      <c r="M7" s="96">
        <f>IFERROR('Real (total)'!M4*1000000/Population!U$2,0)</f>
        <v>6003.0288316142723</v>
      </c>
      <c r="N7" s="96">
        <f>IFERROR('Real (total)'!N4*1000000/Population!V$2,0)</f>
        <v>7117.3101812103214</v>
      </c>
      <c r="O7" s="96">
        <f>IFERROR('Real (total)'!O4*1000000/Population!W$2,0)</f>
        <v>6684.871715477886</v>
      </c>
      <c r="P7" s="96">
        <f>IFERROR('Real (total)'!P4*1000000/Population!X$2,0)</f>
        <v>6472.6234895967573</v>
      </c>
      <c r="Q7" s="96">
        <f>IFERROR('Real (total)'!Q4*1000000/Population!Y$2,0)</f>
        <v>6306.0861636718873</v>
      </c>
      <c r="R7" s="96">
        <f>IFERROR('Real (total)'!R4*1000000/Population!Z$2,0)</f>
        <v>6301.0390034270795</v>
      </c>
      <c r="S7" s="96">
        <f>IFERROR('Total crown'!S4*1000000/Population!AA$2,0)</f>
        <v>6070.9567440869378</v>
      </c>
      <c r="T7" s="96">
        <f>IFERROR('Total crown'!T4*1000000/Population!AB$2,0)</f>
        <v>6102.3383883685483</v>
      </c>
      <c r="U7" s="96">
        <f>IFERROR('Total crown'!U4*1000000/Population!AC$2,0)</f>
        <v>6297.4303671211646</v>
      </c>
      <c r="V7" s="96">
        <f>IFERROR('Total crown'!V4*1000000/Population!AD$2,0)</f>
        <v>6419.4937726836997</v>
      </c>
      <c r="W7" s="96">
        <f>IFERROR('Total crown'!W4*1000000/Population!AE$2,0)</f>
        <v>6614.2643756576008</v>
      </c>
      <c r="X7" s="96">
        <f>IFERROR('Total crown'!X4*1000000/Population!AF$2,0)</f>
        <v>6707.3322926171977</v>
      </c>
      <c r="Y7" s="96">
        <f>IFERROR('Total crown'!Y4*1000000/Population!AG$2,0)</f>
        <v>6821.9893414801836</v>
      </c>
    </row>
    <row r="8" spans="1:25" s="98" customFormat="1" x14ac:dyDescent="0.25">
      <c r="A8" s="95" t="str">
        <f>+'Total crown'!A5</f>
        <v>Total revenue (excluding gains)</v>
      </c>
      <c r="B8" s="96">
        <f>IFERROR('Real (total)'!B5*1000000/Population!J$2,0)</f>
        <v>15031.248275793369</v>
      </c>
      <c r="C8" s="96">
        <f>IFERROR('Real (total)'!C5*1000000/Population!K$2,0)</f>
        <v>15253.543212491135</v>
      </c>
      <c r="D8" s="96">
        <f>IFERROR('Real (total)'!D5*1000000/Population!L$2,0)</f>
        <v>15920.308609912643</v>
      </c>
      <c r="E8" s="96">
        <f>IFERROR('Real (total)'!E5*1000000/Population!M$2,0)</f>
        <v>16863.257188927502</v>
      </c>
      <c r="F8" s="96">
        <f>IFERROR('Real (total)'!F5*1000000/Population!N$2,0)</f>
        <v>18466.189113505745</v>
      </c>
      <c r="G8" s="96">
        <f>IFERROR('Real (total)'!G5*1000000/Population!O$2,0)</f>
        <v>18608.14286707911</v>
      </c>
      <c r="H8" s="96">
        <f>IFERROR('Real (total)'!H5*1000000/Population!P$2,0)</f>
        <v>19658.73910688125</v>
      </c>
      <c r="I8" s="96">
        <f>IFERROR('Real (total)'!I5*1000000/Population!Q$2,0)</f>
        <v>20414.421346690149</v>
      </c>
      <c r="J8" s="96">
        <f>IFERROR('Real (total)'!J5*1000000/Population!R$2,0)</f>
        <v>20708.406938952867</v>
      </c>
      <c r="K8" s="96">
        <f>IFERROR('Real (total)'!K5*1000000/Population!S$2,0)</f>
        <v>21568.747944886432</v>
      </c>
      <c r="L8" s="96">
        <f>IFERROR('Real (total)'!L5*1000000/Population!T$2,0)</f>
        <v>20437.746820409237</v>
      </c>
      <c r="M8" s="96">
        <f>IFERROR('Real (total)'!M5*1000000/Population!U$2,0)</f>
        <v>18638.778343938528</v>
      </c>
      <c r="N8" s="96">
        <f>IFERROR('Real (total)'!N5*1000000/Population!V$2,0)</f>
        <v>19213.236086838606</v>
      </c>
      <c r="O8" s="96">
        <f>IFERROR('Real (total)'!O5*1000000/Population!W$2,0)</f>
        <v>19426.007391590942</v>
      </c>
      <c r="P8" s="96">
        <f>IFERROR('Real (total)'!P5*1000000/Population!X$2,0)</f>
        <v>19826.759627021533</v>
      </c>
      <c r="Q8" s="96">
        <f>IFERROR('Real (total)'!Q5*1000000/Population!Y$2,0)</f>
        <v>19862.167362760192</v>
      </c>
      <c r="R8" s="96">
        <f>IFERROR('Real (total)'!R5*1000000/Population!Z$2,0)</f>
        <v>20674.101071642279</v>
      </c>
      <c r="S8" s="96">
        <f>IFERROR('Total crown'!S5*1000000/Population!AA$2,0)</f>
        <v>20916.045173662904</v>
      </c>
      <c r="T8" s="96">
        <f>IFERROR('Total crown'!T5*1000000/Population!AB$2,0)</f>
        <v>21741.588268424453</v>
      </c>
      <c r="U8" s="96">
        <f>IFERROR('Total crown'!U5*1000000/Population!AC$2,0)</f>
        <v>22180.010640598906</v>
      </c>
      <c r="V8" s="96">
        <f>IFERROR('Total crown'!V5*1000000/Population!AD$2,0)</f>
        <v>22966.316714116154</v>
      </c>
      <c r="W8" s="96">
        <f>IFERROR('Total crown'!W5*1000000/Population!AE$2,0)</f>
        <v>23922.534244804359</v>
      </c>
      <c r="X8" s="96">
        <f>IFERROR('Total crown'!X5*1000000/Population!AF$2,0)</f>
        <v>24813.867008584435</v>
      </c>
      <c r="Y8" s="96">
        <f>IFERROR('Total crown'!Y5*1000000/Population!AG$2,0)</f>
        <v>25678.951756664686</v>
      </c>
    </row>
    <row r="9" spans="1:25" s="98" customFormat="1" x14ac:dyDescent="0.25">
      <c r="A9" s="95" t="str">
        <f>+'Total crown'!A6</f>
        <v>Total expenses (excluding losses)</v>
      </c>
      <c r="B9" s="96">
        <f>IFERROR('Real (total)'!B6*1000000/Population!J$2,0)</f>
        <v>14983.106845293863</v>
      </c>
      <c r="C9" s="96">
        <f>IFERROR('Real (total)'!C6*1000000/Population!K$2,0)</f>
        <v>15035.954506146687</v>
      </c>
      <c r="D9" s="96">
        <f>IFERROR('Real (total)'!D6*1000000/Population!L$2,0)</f>
        <v>15418.514355426114</v>
      </c>
      <c r="E9" s="96">
        <f>IFERROR('Real (total)'!E6*1000000/Population!M$2,0)</f>
        <v>16028.92906344022</v>
      </c>
      <c r="F9" s="96">
        <f>IFERROR('Real (total)'!F6*1000000/Population!N$2,0)</f>
        <v>17042.043958101898</v>
      </c>
      <c r="G9" s="96">
        <f>IFERROR('Real (total)'!G6*1000000/Population!O$2,0)</f>
        <v>16858.457950805707</v>
      </c>
      <c r="H9" s="96">
        <f>IFERROR('Real (total)'!H6*1000000/Population!P$2,0)</f>
        <v>17523.566601590715</v>
      </c>
      <c r="I9" s="96">
        <f>IFERROR('Real (total)'!I6*1000000/Population!Q$2,0)</f>
        <v>18380.979919371606</v>
      </c>
      <c r="J9" s="96">
        <f>IFERROR('Real (total)'!J6*1000000/Population!R$2,0)</f>
        <v>19076.222717749301</v>
      </c>
      <c r="K9" s="96">
        <f>IFERROR('Real (total)'!K6*1000000/Population!S$2,0)</f>
        <v>20072.065084477439</v>
      </c>
      <c r="L9" s="96">
        <f>IFERROR('Real (total)'!L6*1000000/Population!T$2,0)</f>
        <v>21442.154424674252</v>
      </c>
      <c r="M9" s="96">
        <f>IFERROR('Real (total)'!M6*1000000/Population!U$2,0)</f>
        <v>20223.674329207312</v>
      </c>
      <c r="N9" s="96">
        <f>IFERROR('Real (total)'!N6*1000000/Population!V$2,0)</f>
        <v>23565.384673912966</v>
      </c>
      <c r="O9" s="96">
        <f>IFERROR('Real (total)'!O6*1000000/Population!W$2,0)</f>
        <v>21579.635739661644</v>
      </c>
      <c r="P9" s="96">
        <f>IFERROR('Real (total)'!P6*1000000/Population!X$2,0)</f>
        <v>20826.470647595939</v>
      </c>
      <c r="Q9" s="96">
        <f>IFERROR('Real (total)'!Q6*1000000/Population!Y$2,0)</f>
        <v>20450.690870196097</v>
      </c>
      <c r="R9" s="96">
        <f>IFERROR('Real (total)'!R6*1000000/Population!Z$2,0)</f>
        <v>20512.865147146822</v>
      </c>
      <c r="S9" s="96">
        <f>IFERROR('Total crown'!S6*1000000/Population!AA$2,0)</f>
        <v>20430.42829746431</v>
      </c>
      <c r="T9" s="96">
        <f>IFERROR('Total crown'!T6*1000000/Population!AB$2,0)</f>
        <v>20820.626212478361</v>
      </c>
      <c r="U9" s="96">
        <f>IFERROR('Total crown'!U6*1000000/Population!AC$2,0)</f>
        <v>21573.352988029837</v>
      </c>
      <c r="V9" s="96">
        <f>IFERROR('Total crown'!V6*1000000/Population!AD$2,0)</f>
        <v>22309.92881972382</v>
      </c>
      <c r="W9" s="96">
        <f>IFERROR('Total crown'!W6*1000000/Population!AE$2,0)</f>
        <v>22837.361295365536</v>
      </c>
      <c r="X9" s="96">
        <f>IFERROR('Total crown'!X6*1000000/Population!AF$2,0)</f>
        <v>23440.090264403872</v>
      </c>
      <c r="Y9" s="96">
        <f>IFERROR('Total crown'!Y6*1000000/Population!AG$2,0)</f>
        <v>23870.83777956837</v>
      </c>
    </row>
    <row r="10" spans="1:25" s="98" customFormat="1" x14ac:dyDescent="0.25">
      <c r="A10" s="95" t="s">
        <v>79</v>
      </c>
      <c r="B10" s="96">
        <f>IFERROR('Real (total)'!B7*1000000/Population!J$2,0)</f>
        <v>48.14143049950443</v>
      </c>
      <c r="C10" s="96">
        <f>IFERROR('Real (total)'!C7*1000000/Population!K$2,0)</f>
        <v>217.58870634444625</v>
      </c>
      <c r="D10" s="96">
        <f>IFERROR('Real (total)'!D7*1000000/Population!L$2,0)</f>
        <v>501.79425448652995</v>
      </c>
      <c r="E10" s="96">
        <f>IFERROR('Real (total)'!E7*1000000/Population!M$2,0)</f>
        <v>834.32812548728123</v>
      </c>
      <c r="F10" s="96">
        <f>IFERROR('Real (total)'!F7*1000000/Population!N$2,0)</f>
        <v>1424.1451554038474</v>
      </c>
      <c r="G10" s="96">
        <f>IFERROR('Real (total)'!G7*1000000/Population!O$2,0)</f>
        <v>1749.6849162734059</v>
      </c>
      <c r="H10" s="96">
        <f>IFERROR('Real (total)'!H7*1000000/Population!P$2,0)</f>
        <v>2135.1725052905372</v>
      </c>
      <c r="I10" s="96">
        <f>IFERROR('Real (total)'!I7*1000000/Population!Q$2,0)</f>
        <v>2033.4414273185446</v>
      </c>
      <c r="J10" s="96">
        <f>IFERROR('Real (total)'!J7*1000000/Population!R$2,0)</f>
        <v>1632.1842212035642</v>
      </c>
      <c r="K10" s="96">
        <f>IFERROR('Real (total)'!K7*1000000/Population!S$2,0)</f>
        <v>1496.6828604089965</v>
      </c>
      <c r="L10" s="96">
        <f>IFERROR('Real (total)'!L7*1000000/Population!T$2,0)</f>
        <v>-1004.4076042650149</v>
      </c>
      <c r="M10" s="96">
        <f>IFERROR('Real (total)'!M7*1000000/Population!U$2,0)</f>
        <v>-1584.8959852687879</v>
      </c>
      <c r="N10" s="96">
        <f>IFERROR('Real (total)'!N7*1000000/Population!V$2,0)</f>
        <v>-4352.14858707436</v>
      </c>
      <c r="O10" s="96">
        <f>IFERROR('Real (total)'!O7*1000000/Population!W$2,0)</f>
        <v>-2153.628348070697</v>
      </c>
      <c r="P10" s="96">
        <f>IFERROR('Real (total)'!P7*1000000/Population!X$2,0)</f>
        <v>-1013.9532272094303</v>
      </c>
      <c r="Q10" s="96">
        <f>IFERROR('Real (total)'!Q7*1000000/Population!Y$2,0)</f>
        <v>-653.09854230401947</v>
      </c>
      <c r="R10" s="96">
        <f>IFERROR('Real (total)'!R7*1000000/Population!Z$2,0)</f>
        <v>90.08322907033974</v>
      </c>
      <c r="S10" s="96">
        <f t="shared" ref="S10:Y10" si="1">+S8-S9</f>
        <v>485.61687619859367</v>
      </c>
      <c r="T10" s="96">
        <f t="shared" si="1"/>
        <v>920.96205594609273</v>
      </c>
      <c r="U10" s="96">
        <f t="shared" si="1"/>
        <v>606.65765256906889</v>
      </c>
      <c r="V10" s="96">
        <f t="shared" si="1"/>
        <v>656.38789439233369</v>
      </c>
      <c r="W10" s="96">
        <f t="shared" si="1"/>
        <v>1085.1729494388237</v>
      </c>
      <c r="X10" s="96">
        <f t="shared" si="1"/>
        <v>1373.7767441805627</v>
      </c>
      <c r="Y10" s="96">
        <f t="shared" si="1"/>
        <v>1808.1139770963164</v>
      </c>
    </row>
    <row r="11" spans="1:25" s="98" customFormat="1" x14ac:dyDescent="0.25">
      <c r="A11" s="95"/>
      <c r="B11" s="96"/>
      <c r="C11" s="96"/>
      <c r="D11" s="96"/>
      <c r="E11" s="96"/>
      <c r="F11" s="96"/>
      <c r="G11" s="96"/>
      <c r="H11" s="96"/>
      <c r="I11" s="96"/>
      <c r="J11" s="96"/>
      <c r="K11" s="96"/>
      <c r="L11" s="96"/>
      <c r="M11" s="96"/>
      <c r="N11" s="96"/>
      <c r="O11" s="96"/>
      <c r="P11" s="96"/>
      <c r="Q11" s="96"/>
      <c r="R11" s="96"/>
      <c r="S11" s="96"/>
      <c r="T11" s="96"/>
      <c r="U11" s="96"/>
      <c r="V11" s="96"/>
      <c r="W11" s="96"/>
      <c r="X11" s="96"/>
      <c r="Y11" s="96"/>
    </row>
    <row r="12" spans="1:25" s="98" customFormat="1" x14ac:dyDescent="0.25">
      <c r="A12" s="95"/>
      <c r="B12" s="96"/>
      <c r="C12" s="96"/>
      <c r="D12" s="96"/>
      <c r="E12" s="96"/>
      <c r="F12" s="96"/>
      <c r="G12" s="96"/>
      <c r="H12" s="96"/>
      <c r="I12" s="96"/>
      <c r="J12" s="96"/>
      <c r="K12" s="96"/>
      <c r="L12" s="96"/>
      <c r="M12" s="96"/>
      <c r="N12" s="96"/>
      <c r="O12" s="96"/>
      <c r="P12" s="96"/>
      <c r="Q12" s="96"/>
      <c r="R12" s="96"/>
      <c r="S12" s="96"/>
      <c r="T12" s="96"/>
      <c r="U12" s="96"/>
      <c r="V12" s="96"/>
      <c r="W12" s="96"/>
      <c r="X12" s="96"/>
      <c r="Y12" s="96"/>
    </row>
    <row r="13" spans="1:25" s="98" customFormat="1" x14ac:dyDescent="0.25">
      <c r="A13" s="95"/>
      <c r="B13" s="96"/>
      <c r="C13" s="96"/>
      <c r="D13" s="96"/>
      <c r="E13" s="96"/>
      <c r="F13" s="96"/>
      <c r="G13" s="96"/>
      <c r="H13" s="96"/>
      <c r="I13" s="96"/>
      <c r="J13" s="96"/>
      <c r="K13" s="96"/>
      <c r="L13" s="96"/>
      <c r="M13" s="96"/>
      <c r="N13" s="96"/>
      <c r="O13" s="96"/>
      <c r="P13" s="96"/>
      <c r="Q13" s="96"/>
      <c r="R13" s="96"/>
      <c r="S13" s="96"/>
      <c r="T13" s="96"/>
      <c r="U13" s="96"/>
      <c r="V13" s="96"/>
      <c r="W13" s="96"/>
      <c r="X13" s="96"/>
      <c r="Y13" s="96"/>
    </row>
    <row r="14" spans="1:25" s="98" customFormat="1" x14ac:dyDescent="0.25">
      <c r="A14" s="95"/>
      <c r="B14" s="96"/>
      <c r="C14" s="96"/>
      <c r="D14" s="96"/>
      <c r="E14" s="96"/>
      <c r="F14" s="96"/>
      <c r="G14" s="96"/>
      <c r="H14" s="96"/>
      <c r="I14" s="96"/>
      <c r="J14" s="96"/>
      <c r="K14" s="96"/>
      <c r="L14" s="96"/>
      <c r="M14" s="96"/>
      <c r="N14" s="96"/>
      <c r="O14" s="96"/>
      <c r="P14" s="96"/>
      <c r="Q14" s="96"/>
      <c r="R14" s="96"/>
      <c r="S14" s="96"/>
      <c r="T14" s="96"/>
      <c r="U14" s="96"/>
      <c r="V14" s="96"/>
      <c r="W14" s="96"/>
      <c r="X14" s="96"/>
      <c r="Y14" s="96"/>
    </row>
    <row r="15" spans="1:25" x14ac:dyDescent="0.25">
      <c r="A15" s="95"/>
      <c r="B15" s="96"/>
      <c r="C15" s="96"/>
      <c r="D15" s="96"/>
      <c r="E15" s="96"/>
      <c r="F15" s="96"/>
      <c r="G15" s="96"/>
      <c r="H15" s="96"/>
      <c r="I15" s="96"/>
      <c r="J15" s="96"/>
      <c r="K15" s="96"/>
      <c r="L15" s="96"/>
      <c r="M15" s="96"/>
      <c r="N15" s="96"/>
      <c r="O15" s="96"/>
      <c r="P15" s="96"/>
      <c r="Q15" s="96"/>
      <c r="R15" s="96"/>
      <c r="S15" s="96"/>
      <c r="T15" s="96"/>
      <c r="U15" s="96"/>
      <c r="V15" s="96"/>
      <c r="W15" s="96"/>
      <c r="X15" s="96"/>
      <c r="Y15" s="96"/>
    </row>
    <row r="16" spans="1:25" x14ac:dyDescent="0.25">
      <c r="M16" s="99"/>
      <c r="N16" s="99"/>
      <c r="O16" s="99"/>
      <c r="P16" s="99"/>
      <c r="Q16" s="99"/>
      <c r="R16" s="99"/>
      <c r="S16" s="99"/>
      <c r="T16" s="99"/>
      <c r="U16" s="99"/>
      <c r="V16" s="99"/>
      <c r="W16" s="99"/>
      <c r="X16" s="99"/>
    </row>
    <row r="17" spans="1:25" x14ac:dyDescent="0.25">
      <c r="M17" s="99"/>
      <c r="N17" s="99"/>
      <c r="O17" s="99"/>
      <c r="P17" s="99"/>
      <c r="Q17" s="99"/>
      <c r="R17" s="99"/>
      <c r="S17" s="99"/>
      <c r="T17" s="99"/>
      <c r="U17" s="99"/>
      <c r="V17" s="99"/>
      <c r="W17" s="99"/>
      <c r="X17" s="99"/>
    </row>
    <row r="18" spans="1:25" x14ac:dyDescent="0.25">
      <c r="M18" s="99"/>
      <c r="N18" s="99"/>
      <c r="O18" s="99"/>
      <c r="P18" s="99"/>
      <c r="Q18" s="99"/>
      <c r="R18" s="99"/>
      <c r="S18" s="99"/>
      <c r="T18" s="99"/>
      <c r="U18" s="99"/>
      <c r="V18" s="99"/>
      <c r="W18" s="99"/>
      <c r="X18" s="99"/>
    </row>
    <row r="19" spans="1:25" x14ac:dyDescent="0.25">
      <c r="A19" s="100"/>
      <c r="M19" s="99"/>
      <c r="N19" s="99"/>
      <c r="O19" s="99"/>
      <c r="P19" s="99"/>
      <c r="Q19" s="99"/>
      <c r="R19" s="99"/>
      <c r="S19" s="99"/>
      <c r="T19" s="99"/>
      <c r="U19" s="99"/>
      <c r="V19" s="99"/>
      <c r="W19" s="99"/>
      <c r="X19" s="99"/>
    </row>
    <row r="20" spans="1:25" x14ac:dyDescent="0.25">
      <c r="M20" s="99"/>
      <c r="N20" s="99"/>
      <c r="O20" s="99"/>
      <c r="P20" s="99"/>
      <c r="Q20" s="99"/>
      <c r="R20" s="99"/>
      <c r="S20" s="99"/>
      <c r="T20" s="99"/>
      <c r="U20" s="99"/>
      <c r="V20" s="99"/>
      <c r="W20" s="99"/>
      <c r="X20" s="99"/>
    </row>
    <row r="22" spans="1:25" x14ac:dyDescent="0.25">
      <c r="A22" s="100"/>
      <c r="Q22" s="99"/>
    </row>
    <row r="23" spans="1:25" x14ac:dyDescent="0.25">
      <c r="A23" s="100"/>
      <c r="V23" s="99"/>
    </row>
    <row r="24" spans="1:25" x14ac:dyDescent="0.25">
      <c r="A24" s="100"/>
      <c r="N24" s="99"/>
      <c r="O24" s="99"/>
      <c r="P24" s="99"/>
      <c r="V24" s="99"/>
    </row>
    <row r="26" spans="1:25" x14ac:dyDescent="0.25">
      <c r="N26" s="99"/>
      <c r="O26" s="99"/>
      <c r="P26" s="99"/>
    </row>
    <row r="27" spans="1:25" x14ac:dyDescent="0.25">
      <c r="N27" s="99"/>
      <c r="O27" s="99"/>
      <c r="P27" s="99"/>
    </row>
    <row r="28" spans="1:25" x14ac:dyDescent="0.25">
      <c r="N28" s="99"/>
      <c r="O28" s="99"/>
      <c r="P28" s="99"/>
    </row>
    <row r="29" spans="1:25" x14ac:dyDescent="0.25">
      <c r="N29" s="99"/>
      <c r="O29" s="99"/>
      <c r="P29" s="99"/>
    </row>
    <row r="30" spans="1:25" x14ac:dyDescent="0.25">
      <c r="N30" s="99"/>
      <c r="O30" s="99"/>
      <c r="P30" s="99"/>
    </row>
    <row r="31" spans="1:25" x14ac:dyDescent="0.25">
      <c r="A31" s="82" t="s">
        <v>52</v>
      </c>
      <c r="N31" s="99"/>
      <c r="O31" s="99"/>
      <c r="P31" s="99"/>
    </row>
    <row r="32" spans="1:25" x14ac:dyDescent="0.25">
      <c r="A32" s="199" t="s">
        <v>74</v>
      </c>
      <c r="B32" s="84">
        <v>34121</v>
      </c>
      <c r="C32" s="85">
        <v>34486</v>
      </c>
      <c r="D32" s="85">
        <v>34851</v>
      </c>
      <c r="E32" s="85">
        <v>35217</v>
      </c>
      <c r="F32" s="85">
        <v>35582</v>
      </c>
      <c r="G32" s="85">
        <v>35947</v>
      </c>
      <c r="H32" s="85">
        <v>36312</v>
      </c>
      <c r="I32" s="85">
        <v>36678</v>
      </c>
      <c r="J32" s="85">
        <v>37043</v>
      </c>
      <c r="K32" s="85">
        <v>37408</v>
      </c>
      <c r="L32" s="85">
        <v>37773</v>
      </c>
      <c r="M32" s="85">
        <v>38139</v>
      </c>
      <c r="N32" s="85">
        <v>38504</v>
      </c>
      <c r="O32" s="85">
        <v>38869</v>
      </c>
      <c r="P32" s="85">
        <v>39234</v>
      </c>
      <c r="Q32" s="85">
        <v>39600</v>
      </c>
      <c r="R32" s="85">
        <v>39965</v>
      </c>
      <c r="S32" s="85">
        <v>40330</v>
      </c>
      <c r="T32" s="85">
        <f>+T2</f>
        <v>42887</v>
      </c>
      <c r="U32" s="85">
        <f t="shared" ref="U32:Y32" si="2">+U2</f>
        <v>43252</v>
      </c>
      <c r="V32" s="85">
        <f t="shared" si="2"/>
        <v>43617</v>
      </c>
      <c r="W32" s="85">
        <f t="shared" si="2"/>
        <v>43983</v>
      </c>
      <c r="X32" s="85">
        <f t="shared" si="2"/>
        <v>44348</v>
      </c>
      <c r="Y32" s="85">
        <f t="shared" si="2"/>
        <v>44713</v>
      </c>
    </row>
    <row r="33" spans="1:25" x14ac:dyDescent="0.25">
      <c r="A33" s="200"/>
      <c r="B33" s="88" t="s">
        <v>24</v>
      </c>
      <c r="C33" s="88" t="s">
        <v>24</v>
      </c>
      <c r="D33" s="88" t="s">
        <v>24</v>
      </c>
      <c r="E33" s="88" t="s">
        <v>24</v>
      </c>
      <c r="F33" s="88" t="s">
        <v>24</v>
      </c>
      <c r="G33" s="88" t="s">
        <v>24</v>
      </c>
      <c r="H33" s="88" t="s">
        <v>24</v>
      </c>
      <c r="I33" s="88" t="s">
        <v>24</v>
      </c>
      <c r="J33" s="88" t="s">
        <v>24</v>
      </c>
      <c r="K33" s="88" t="s">
        <v>24</v>
      </c>
      <c r="L33" s="88" t="s">
        <v>24</v>
      </c>
      <c r="M33" s="88" t="s">
        <v>24</v>
      </c>
      <c r="N33" s="88" t="s">
        <v>24</v>
      </c>
      <c r="O33" s="88" t="s">
        <v>24</v>
      </c>
      <c r="P33" s="88" t="s">
        <v>24</v>
      </c>
      <c r="Q33" s="88" t="s">
        <v>24</v>
      </c>
      <c r="R33" s="88" t="s">
        <v>24</v>
      </c>
      <c r="S33" s="88" t="s">
        <v>24</v>
      </c>
      <c r="T33" s="88" t="s">
        <v>24</v>
      </c>
      <c r="U33" s="88" t="s">
        <v>24</v>
      </c>
      <c r="V33" s="88" t="s">
        <v>24</v>
      </c>
      <c r="W33" s="88" t="s">
        <v>24</v>
      </c>
      <c r="X33" s="88" t="s">
        <v>24</v>
      </c>
      <c r="Y33" s="88" t="s">
        <v>24</v>
      </c>
    </row>
    <row r="34" spans="1:25" x14ac:dyDescent="0.25">
      <c r="A34" s="200"/>
      <c r="B34" s="88" t="s">
        <v>53</v>
      </c>
      <c r="C34" s="88" t="s">
        <v>53</v>
      </c>
      <c r="D34" s="88" t="s">
        <v>53</v>
      </c>
      <c r="E34" s="88" t="s">
        <v>53</v>
      </c>
      <c r="F34" s="88" t="s">
        <v>53</v>
      </c>
      <c r="G34" s="88" t="s">
        <v>53</v>
      </c>
      <c r="H34" s="88" t="s">
        <v>53</v>
      </c>
      <c r="I34" s="88" t="s">
        <v>53</v>
      </c>
      <c r="J34" s="88" t="s">
        <v>53</v>
      </c>
      <c r="K34" s="88" t="s">
        <v>53</v>
      </c>
      <c r="L34" s="88" t="s">
        <v>53</v>
      </c>
      <c r="M34" s="88" t="s">
        <v>53</v>
      </c>
      <c r="N34" s="88" t="s">
        <v>53</v>
      </c>
      <c r="O34" s="88" t="s">
        <v>53</v>
      </c>
      <c r="P34" s="88" t="s">
        <v>53</v>
      </c>
      <c r="Q34" s="88" t="s">
        <v>53</v>
      </c>
      <c r="R34" s="88" t="s">
        <v>53</v>
      </c>
      <c r="S34" s="88" t="s">
        <v>53</v>
      </c>
      <c r="T34" s="88" t="s">
        <v>53</v>
      </c>
      <c r="U34" s="88" t="s">
        <v>53</v>
      </c>
      <c r="V34" s="88" t="s">
        <v>53</v>
      </c>
      <c r="W34" s="88" t="s">
        <v>53</v>
      </c>
      <c r="X34" s="88" t="s">
        <v>53</v>
      </c>
      <c r="Y34" s="88" t="s">
        <v>53</v>
      </c>
    </row>
    <row r="35" spans="1:25" x14ac:dyDescent="0.25">
      <c r="A35" s="201"/>
      <c r="B35" s="88" t="s">
        <v>54</v>
      </c>
      <c r="C35" s="88" t="s">
        <v>54</v>
      </c>
      <c r="D35" s="88" t="s">
        <v>54</v>
      </c>
      <c r="E35" s="88" t="s">
        <v>54</v>
      </c>
      <c r="F35" s="88" t="s">
        <v>54</v>
      </c>
      <c r="G35" s="88" t="s">
        <v>54</v>
      </c>
      <c r="H35" s="88" t="s">
        <v>54</v>
      </c>
      <c r="I35" s="88" t="s">
        <v>54</v>
      </c>
      <c r="J35" s="88" t="s">
        <v>54</v>
      </c>
      <c r="K35" s="88" t="s">
        <v>54</v>
      </c>
      <c r="L35" s="88" t="s">
        <v>54</v>
      </c>
      <c r="M35" s="88" t="s">
        <v>54</v>
      </c>
      <c r="N35" s="88" t="s">
        <v>54</v>
      </c>
      <c r="O35" s="88" t="s">
        <v>54</v>
      </c>
      <c r="P35" s="88" t="s">
        <v>54</v>
      </c>
      <c r="Q35" s="88" t="s">
        <v>54</v>
      </c>
      <c r="R35" s="88" t="s">
        <v>54</v>
      </c>
      <c r="S35" s="88" t="s">
        <v>54</v>
      </c>
      <c r="T35" s="88" t="s">
        <v>54</v>
      </c>
      <c r="U35" s="88" t="s">
        <v>54</v>
      </c>
      <c r="V35" s="88" t="s">
        <v>54</v>
      </c>
      <c r="W35" s="88" t="s">
        <v>54</v>
      </c>
      <c r="X35" s="88" t="s">
        <v>54</v>
      </c>
      <c r="Y35" s="88" t="s">
        <v>54</v>
      </c>
    </row>
    <row r="36" spans="1:25" x14ac:dyDescent="0.25">
      <c r="A36" s="91"/>
      <c r="B36" s="92"/>
      <c r="C36" s="93"/>
      <c r="D36" s="93"/>
      <c r="E36" s="93"/>
      <c r="F36" s="93"/>
      <c r="G36" s="93"/>
      <c r="H36" s="93"/>
      <c r="I36" s="93"/>
      <c r="J36" s="93"/>
      <c r="K36" s="93"/>
      <c r="L36" s="93"/>
      <c r="M36" s="93"/>
      <c r="N36" s="93"/>
      <c r="O36" s="93"/>
      <c r="P36" s="93"/>
      <c r="Q36" s="93"/>
      <c r="R36" s="93"/>
      <c r="S36" s="93"/>
      <c r="T36" s="93"/>
      <c r="U36" s="93"/>
      <c r="V36" s="93"/>
      <c r="W36" s="93"/>
      <c r="X36" s="93"/>
      <c r="Y36" s="93"/>
    </row>
    <row r="37" spans="1:25" x14ac:dyDescent="0.25">
      <c r="A37" s="95" t="str">
        <f>+A6</f>
        <v>Taxation revenue</v>
      </c>
      <c r="B37" s="101">
        <f t="shared" ref="B37:S37" si="3">+B6/52.1429</f>
        <v>231.9401106056122</v>
      </c>
      <c r="C37" s="101">
        <f t="shared" si="3"/>
        <v>239.26967749127493</v>
      </c>
      <c r="D37" s="101">
        <f t="shared" si="3"/>
        <v>248.69459111955032</v>
      </c>
      <c r="E37" s="101">
        <f t="shared" si="3"/>
        <v>234.48745798283912</v>
      </c>
      <c r="F37" s="101">
        <f t="shared" si="3"/>
        <v>248.88822837982374</v>
      </c>
      <c r="G37" s="101">
        <f t="shared" si="3"/>
        <v>256.08389128523578</v>
      </c>
      <c r="H37" s="101">
        <f t="shared" si="3"/>
        <v>269.88718380334723</v>
      </c>
      <c r="I37" s="101">
        <f t="shared" si="3"/>
        <v>287.68818260158133</v>
      </c>
      <c r="J37" s="101">
        <f t="shared" si="3"/>
        <v>282.77688577902416</v>
      </c>
      <c r="K37" s="101">
        <f t="shared" si="3"/>
        <v>287.04501715767555</v>
      </c>
      <c r="L37" s="101">
        <f t="shared" si="3"/>
        <v>267.90990167707446</v>
      </c>
      <c r="M37" s="101">
        <f t="shared" si="3"/>
        <v>242.32924352738829</v>
      </c>
      <c r="N37" s="101">
        <f t="shared" si="3"/>
        <v>231.97647053823789</v>
      </c>
      <c r="O37" s="101">
        <f t="shared" si="3"/>
        <v>244.35034637722603</v>
      </c>
      <c r="P37" s="101">
        <f t="shared" si="3"/>
        <v>256.10650994526151</v>
      </c>
      <c r="Q37" s="101">
        <f t="shared" si="3"/>
        <v>259.97942575285049</v>
      </c>
      <c r="R37" s="101">
        <f t="shared" si="3"/>
        <v>275.64753913217714</v>
      </c>
      <c r="S37" s="101">
        <f t="shared" si="3"/>
        <v>284.70009204658669</v>
      </c>
      <c r="T37" s="101">
        <f t="shared" ref="T37:Y37" si="4">+T6/52.1429</f>
        <v>299.93057309923125</v>
      </c>
      <c r="U37" s="101">
        <f t="shared" si="4"/>
        <v>304.59717954846667</v>
      </c>
      <c r="V37" s="101">
        <f t="shared" si="4"/>
        <v>317.33606955946931</v>
      </c>
      <c r="W37" s="101">
        <f t="shared" si="4"/>
        <v>331.93914932132196</v>
      </c>
      <c r="X37" s="101">
        <f t="shared" si="4"/>
        <v>347.24832558156982</v>
      </c>
      <c r="Y37" s="101">
        <f t="shared" si="4"/>
        <v>361.64007784731007</v>
      </c>
    </row>
    <row r="38" spans="1:25" x14ac:dyDescent="0.25">
      <c r="A38" s="95" t="str">
        <f>+A7</f>
        <v>Other revenue</v>
      </c>
      <c r="B38" s="101">
        <f t="shared" ref="B38:S38" si="5">+B7/52.1429</f>
        <v>56.330167338141742</v>
      </c>
      <c r="C38" s="101">
        <f t="shared" si="5"/>
        <v>53.263787515296151</v>
      </c>
      <c r="D38" s="101">
        <f t="shared" si="5"/>
        <v>56.626144971320038</v>
      </c>
      <c r="E38" s="101">
        <f t="shared" si="5"/>
        <v>88.917208595496646</v>
      </c>
      <c r="F38" s="101">
        <f t="shared" si="5"/>
        <v>105.25757312921672</v>
      </c>
      <c r="G38" s="101">
        <f t="shared" si="5"/>
        <v>100.78430873967866</v>
      </c>
      <c r="H38" s="101">
        <f t="shared" si="5"/>
        <v>107.12942069853609</v>
      </c>
      <c r="I38" s="101">
        <f t="shared" si="5"/>
        <v>103.82094609456239</v>
      </c>
      <c r="J38" s="101">
        <f t="shared" si="5"/>
        <v>114.37031813469883</v>
      </c>
      <c r="K38" s="101">
        <f t="shared" si="5"/>
        <v>126.60186371942254</v>
      </c>
      <c r="L38" s="101">
        <f t="shared" si="5"/>
        <v>124.04656450354152</v>
      </c>
      <c r="M38" s="101">
        <f t="shared" si="5"/>
        <v>115.12648570781971</v>
      </c>
      <c r="N38" s="101">
        <f t="shared" si="5"/>
        <v>136.49624745095346</v>
      </c>
      <c r="O38" s="101">
        <f t="shared" si="5"/>
        <v>128.20291382868783</v>
      </c>
      <c r="P38" s="101">
        <f t="shared" si="5"/>
        <v>124.132403253305</v>
      </c>
      <c r="Q38" s="101">
        <f t="shared" si="5"/>
        <v>120.93853935381208</v>
      </c>
      <c r="R38" s="101">
        <f t="shared" si="5"/>
        <v>120.84174457935941</v>
      </c>
      <c r="S38" s="101">
        <f t="shared" si="5"/>
        <v>116.42921172560287</v>
      </c>
      <c r="T38" s="101">
        <f t="shared" ref="T38:Y38" si="6">+T7/52.1429</f>
        <v>117.03105098428642</v>
      </c>
      <c r="U38" s="101">
        <f t="shared" si="6"/>
        <v>120.77253791256652</v>
      </c>
      <c r="V38" s="101">
        <f t="shared" si="6"/>
        <v>123.11347801299314</v>
      </c>
      <c r="W38" s="101">
        <f t="shared" si="6"/>
        <v>126.84880157524037</v>
      </c>
      <c r="X38" s="101">
        <f t="shared" si="6"/>
        <v>128.63366426909892</v>
      </c>
      <c r="Y38" s="101">
        <f t="shared" si="6"/>
        <v>130.83256476874482</v>
      </c>
    </row>
    <row r="39" spans="1:25" x14ac:dyDescent="0.25">
      <c r="A39" s="95" t="str">
        <f>+A9</f>
        <v>Total expenses (excluding losses)</v>
      </c>
      <c r="B39" s="101">
        <f t="shared" ref="B39:S39" si="7">+B9/52.1429</f>
        <v>287.34701839164802</v>
      </c>
      <c r="C39" s="101">
        <f t="shared" si="7"/>
        <v>288.36053434210004</v>
      </c>
      <c r="D39" s="101">
        <f t="shared" si="7"/>
        <v>295.69729254464397</v>
      </c>
      <c r="E39" s="101">
        <f t="shared" si="7"/>
        <v>307.40386636416889</v>
      </c>
      <c r="F39" s="101">
        <f t="shared" si="7"/>
        <v>326.83345111418618</v>
      </c>
      <c r="G39" s="101">
        <f t="shared" si="7"/>
        <v>323.31262647082741</v>
      </c>
      <c r="H39" s="101">
        <f t="shared" si="7"/>
        <v>336.06812435807592</v>
      </c>
      <c r="I39" s="101">
        <f t="shared" si="7"/>
        <v>352.51165392357552</v>
      </c>
      <c r="J39" s="101">
        <f t="shared" si="7"/>
        <v>365.84506649513742</v>
      </c>
      <c r="K39" s="101">
        <f t="shared" si="7"/>
        <v>384.9433975570488</v>
      </c>
      <c r="L39" s="101">
        <f t="shared" si="7"/>
        <v>411.21906193698959</v>
      </c>
      <c r="M39" s="101">
        <f t="shared" si="7"/>
        <v>387.85096972372679</v>
      </c>
      <c r="N39" s="101">
        <f t="shared" si="7"/>
        <v>451.93851270092318</v>
      </c>
      <c r="O39" s="101">
        <f t="shared" si="7"/>
        <v>413.8556877285622</v>
      </c>
      <c r="P39" s="101">
        <f t="shared" si="7"/>
        <v>399.41143756093237</v>
      </c>
      <c r="Q39" s="101">
        <f t="shared" si="7"/>
        <v>392.2047080272884</v>
      </c>
      <c r="R39" s="101">
        <f t="shared" si="7"/>
        <v>393.39709044082366</v>
      </c>
      <c r="S39" s="101">
        <f t="shared" si="7"/>
        <v>391.81611106141605</v>
      </c>
      <c r="T39" s="101">
        <f t="shared" ref="T39:Y39" si="8">+T9/52.1429</f>
        <v>399.29935259600757</v>
      </c>
      <c r="U39" s="101">
        <f t="shared" si="8"/>
        <v>413.7351967004106</v>
      </c>
      <c r="V39" s="101">
        <f t="shared" si="8"/>
        <v>427.86129693062378</v>
      </c>
      <c r="W39" s="101">
        <f t="shared" si="8"/>
        <v>437.97643198528539</v>
      </c>
      <c r="X39" s="101">
        <f t="shared" si="8"/>
        <v>449.53560819217716</v>
      </c>
      <c r="Y39" s="101">
        <f t="shared" si="8"/>
        <v>457.79651265212277</v>
      </c>
    </row>
    <row r="40" spans="1:25" x14ac:dyDescent="0.25">
      <c r="A40" s="95" t="str">
        <f>+A8</f>
        <v>Total revenue (excluding gains)</v>
      </c>
      <c r="B40" s="101">
        <f t="shared" ref="B40:S40" si="9">+B8/52.1429</f>
        <v>288.27027794375397</v>
      </c>
      <c r="C40" s="101">
        <f t="shared" si="9"/>
        <v>292.53346500657108</v>
      </c>
      <c r="D40" s="101">
        <f t="shared" si="9"/>
        <v>305.32073609087035</v>
      </c>
      <c r="E40" s="101">
        <f t="shared" si="9"/>
        <v>323.40466657833576</v>
      </c>
      <c r="F40" s="101">
        <f t="shared" si="9"/>
        <v>354.14580150904044</v>
      </c>
      <c r="G40" s="101">
        <f t="shared" si="9"/>
        <v>356.86820002491442</v>
      </c>
      <c r="H40" s="101">
        <f t="shared" si="9"/>
        <v>377.01660450188331</v>
      </c>
      <c r="I40" s="101">
        <f t="shared" si="9"/>
        <v>391.5091286961437</v>
      </c>
      <c r="J40" s="101">
        <f t="shared" si="9"/>
        <v>397.14720391372299</v>
      </c>
      <c r="K40" s="101">
        <f t="shared" si="9"/>
        <v>413.646880877098</v>
      </c>
      <c r="L40" s="101">
        <f t="shared" si="9"/>
        <v>391.95646618061591</v>
      </c>
      <c r="M40" s="101">
        <f t="shared" si="9"/>
        <v>357.45572923520803</v>
      </c>
      <c r="N40" s="101">
        <f t="shared" si="9"/>
        <v>368.47271798919138</v>
      </c>
      <c r="O40" s="101">
        <f t="shared" si="9"/>
        <v>372.55326020591377</v>
      </c>
      <c r="P40" s="101">
        <f t="shared" si="9"/>
        <v>380.23891319856654</v>
      </c>
      <c r="Q40" s="101">
        <f t="shared" si="9"/>
        <v>380.91796510666251</v>
      </c>
      <c r="R40" s="101">
        <f t="shared" si="9"/>
        <v>396.48928371153659</v>
      </c>
      <c r="S40" s="101">
        <f t="shared" si="9"/>
        <v>401.12930377218959</v>
      </c>
      <c r="T40" s="101">
        <f t="shared" ref="T40:Y40" si="10">+T8/52.1429</f>
        <v>416.96162408351768</v>
      </c>
      <c r="U40" s="101">
        <f t="shared" si="10"/>
        <v>425.36971746103319</v>
      </c>
      <c r="V40" s="101">
        <f t="shared" si="10"/>
        <v>440.44954757246251</v>
      </c>
      <c r="W40" s="101">
        <f t="shared" si="10"/>
        <v>458.78795089656234</v>
      </c>
      <c r="X40" s="101">
        <f t="shared" si="10"/>
        <v>475.88198985066879</v>
      </c>
      <c r="Y40" s="101">
        <f t="shared" si="10"/>
        <v>492.47264261605488</v>
      </c>
    </row>
    <row r="41" spans="1:25" x14ac:dyDescent="0.25">
      <c r="T41" s="101"/>
      <c r="U41" s="101"/>
      <c r="V41" s="101"/>
      <c r="W41" s="101"/>
      <c r="X41" s="101"/>
      <c r="Y41" s="101"/>
    </row>
    <row r="42" spans="1:25" x14ac:dyDescent="0.25">
      <c r="A42" s="95"/>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row>
    <row r="43" spans="1:25" x14ac:dyDescent="0.25">
      <c r="A43" s="95"/>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row>
    <row r="44" spans="1:25" x14ac:dyDescent="0.25">
      <c r="A44" s="95"/>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row>
    <row r="45" spans="1:25" x14ac:dyDescent="0.25">
      <c r="A45" s="95"/>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row>
  </sheetData>
  <mergeCells count="2">
    <mergeCell ref="A2:A4"/>
    <mergeCell ref="A32:A3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F369549A17A5474C80B2D0D18F9A7A3601010500EDE12648E327D44D9FED5AFEC1743E01" ma:contentTypeVersion="12" ma:contentTypeDescription="" ma:contentTypeScope="" ma:versionID="59e78a8c565d8b28b53132211e92b330">
  <xsd:schema xmlns:xsd="http://www.w3.org/2001/XMLSchema" xmlns:xs="http://www.w3.org/2001/XMLSchema" xmlns:p="http://schemas.microsoft.com/office/2006/metadata/properties" xmlns:ns1="http://schemas.microsoft.com/sharepoint/v3" xmlns:ns2="a4a9da2b-6e79-4644-bb2a-b556bc2d250b" xmlns:ns3="4cef84be-d13d-4d81-b00a-eac6814b3f5c" targetNamespace="http://schemas.microsoft.com/office/2006/metadata/properties" ma:root="true" ma:fieldsID="1ec5e57a8b620f1f4ad275d666fc3372" ns1:_="" ns2:_="" ns3:_="">
    <xsd:import namespace="http://schemas.microsoft.com/sharepoint/v3"/>
    <xsd:import namespace="a4a9da2b-6e79-4644-bb2a-b556bc2d250b"/>
    <xsd:import namespace="4cef84be-d13d-4d81-b00a-eac6814b3f5c"/>
    <xsd:element name="properties">
      <xsd:complexType>
        <xsd:sequence>
          <xsd:element name="documentManagement">
            <xsd:complexType>
              <xsd:all>
                <xsd:element ref="ns2:_dlc_DocId" minOccurs="0"/>
                <xsd:element ref="ns2:_dlc_DocIdUrl" minOccurs="0"/>
                <xsd:element ref="ns2:_dlc_DocIdPersistId" minOccurs="0"/>
                <xsd:element ref="ns2:Client"/>
                <xsd:element ref="ns1:DocumentSetDescription" minOccurs="0"/>
                <xsd:element ref="ns2:Project_x0020_Type"/>
                <xsd:element ref="ns2:Job_x0020_No." minOccurs="0"/>
                <xsd:element ref="ns2:Status"/>
                <xsd:element ref="ns2:Job_x0020_Category"/>
                <xsd:element ref="ns2:Link_x0020_to_x0020_Proposal" minOccurs="0"/>
                <xsd:element ref="ns2:Link_x0020_to_x0020_Related_x0020_2" minOccurs="0"/>
                <xsd:element ref="ns2:Link_x0020_to_x0020_Related" minOccurs="0"/>
                <xsd:element ref="ns2:Link_x0020_to_x0020_WFMax" minOccurs="0"/>
                <xsd:element ref="ns3:Job_x0020_Completed" minOccurs="0"/>
                <xsd:element ref="ns3:Job_x0020_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2" nillable="true" ma:displayName="Description" ma:description="A brief description of the projec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9da2b-6e79-4644-bb2a-b556bc2d250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lient" ma:index="11" ma:displayName="Client" ma:list="{ff2f405b-a035-44c4-a178-1718bfa8aa97}" ma:internalName="Client" ma:readOnly="false" ma:showField="Title" ma:web="a4a9da2b-6e79-4644-bb2a-b556bc2d250b">
      <xsd:simpleType>
        <xsd:restriction base="dms:Lookup"/>
      </xsd:simpleType>
    </xsd:element>
    <xsd:element name="Project_x0020_Type" ma:index="13" ma:displayName="Project Type" ma:list="{02d9e4bb-d6ed-480a-961d-9440d9511bca}" ma:internalName="Project_x0020_Type1" ma:readOnly="false" ma:showField="Title" ma:web="a4a9da2b-6e79-4644-bb2a-b556bc2d250b">
      <xsd:simpleType>
        <xsd:restriction base="dms:Lookup"/>
      </xsd:simpleType>
    </xsd:element>
    <xsd:element name="Job_x0020_No." ma:index="14" nillable="true" ma:displayName="Job No." ma:internalName="Job_x0020_No_x002e_">
      <xsd:simpleType>
        <xsd:restriction base="dms:Text">
          <xsd:maxLength value="255"/>
        </xsd:restriction>
      </xsd:simpleType>
    </xsd:element>
    <xsd:element name="Status" ma:index="15" ma:displayName="Status" ma:list="{74b819d4-2584-4509-be9d-341e1d21fcbd}" ma:internalName="Status" ma:readOnly="false" ma:showField="Title" ma:web="a4a9da2b-6e79-4644-bb2a-b556bc2d250b">
      <xsd:simpleType>
        <xsd:restriction base="dms:Lookup"/>
      </xsd:simpleType>
    </xsd:element>
    <xsd:element name="Job_x0020_Category" ma:index="16" ma:displayName="Job Category" ma:list="{973fbdb0-c863-433e-9d8d-86d71a2e9171}" ma:internalName="Job_x0020_Category" ma:readOnly="false" ma:showField="Title" ma:web="a4a9da2b-6e79-4644-bb2a-b556bc2d250b">
      <xsd:simpleType>
        <xsd:restriction base="dms:Lookup"/>
      </xsd:simpleType>
    </xsd:element>
    <xsd:element name="Link_x0020_to_x0020_Proposal" ma:index="17" nillable="true" ma:displayName="Link to NZIER Library Archive" ma:format="Hyperlink" ma:internalName="Link_x0020_to_x0020_Proposal0"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ink_x0020_to_x0020_Related_x0020_2" ma:index="18" nillable="true" ma:displayName="Link to Related 2" ma:format="Hyperlink" ma:internalName="Link_x0020_to_x0020_Related_x0020_2">
      <xsd:complexType>
        <xsd:complexContent>
          <xsd:extension base="dms:URL">
            <xsd:sequence>
              <xsd:element name="Url" type="dms:ValidUrl" minOccurs="0" nillable="true"/>
              <xsd:element name="Description" type="xsd:string" nillable="true"/>
            </xsd:sequence>
          </xsd:extension>
        </xsd:complexContent>
      </xsd:complexType>
    </xsd:element>
    <xsd:element name="Link_x0020_to_x0020_Related" ma:index="19" nillable="true" ma:displayName="Link to Related 1" ma:format="Hyperlink" ma:internalName="Link_x0020_to_x0020_Related">
      <xsd:complexType>
        <xsd:complexContent>
          <xsd:extension base="dms:URL">
            <xsd:sequence>
              <xsd:element name="Url" type="dms:ValidUrl" minOccurs="0" nillable="true"/>
              <xsd:element name="Description" type="xsd:string" nillable="true"/>
            </xsd:sequence>
          </xsd:extension>
        </xsd:complexContent>
      </xsd:complexType>
    </xsd:element>
    <xsd:element name="Link_x0020_to_x0020_WFMax" ma:index="20" nillable="true" ma:displayName="Link to WFMax" ma:format="Hyperlink" ma:internalName="Link_x0020_to_x0020_WFMax">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ef84be-d13d-4d81-b00a-eac6814b3f5c" elementFormDefault="qualified">
    <xsd:import namespace="http://schemas.microsoft.com/office/2006/documentManagement/types"/>
    <xsd:import namespace="http://schemas.microsoft.com/office/infopath/2007/PartnerControls"/>
    <xsd:element name="Job_x0020_Completed" ma:index="21" nillable="true" ma:displayName="Date Completed" ma:format="DateOnly" ma:internalName="Job_x0020_Completed">
      <xsd:simpleType>
        <xsd:restriction base="dms:DateTime"/>
      </xsd:simpleType>
    </xsd:element>
    <xsd:element name="Job_x0020_Created" ma:index="22" nillable="true" ma:displayName="Date Created" ma:default="[today]" ma:format="DateOnly" ma:internalName="Job_x0020_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ob_x0020_Completed xmlns="4cef84be-d13d-4d81-b00a-eac6814b3f5c" xsi:nil="true"/>
    <DocumentSetDescription xmlns="http://schemas.microsoft.com/sharepoint/v3" xsi:nil="true"/>
    <Project_x0020_Type xmlns="a4a9da2b-6e79-4644-bb2a-b556bc2d250b">1</Project_x0020_Type>
    <Job_x0020_Category xmlns="a4a9da2b-6e79-4644-bb2a-b556bc2d250b">5</Job_x0020_Category>
    <Link_x0020_to_x0020_Proposal xmlns="a4a9da2b-6e79-4644-bb2a-b556bc2d250b">
      <Url xsi:nil="true"/>
      <Description xsi:nil="true"/>
    </Link_x0020_to_x0020_Proposal>
    <Client xmlns="a4a9da2b-6e79-4644-bb2a-b556bc2d250b">50</Client>
    <Job_x0020_No. xmlns="a4a9da2b-6e79-4644-bb2a-b556bc2d250b">0799</Job_x0020_No.>
    <Link_x0020_to_x0020_WFMax xmlns="a4a9da2b-6e79-4644-bb2a-b556bc2d250b">
      <Url xsi:nil="true"/>
      <Description xsi:nil="true"/>
    </Link_x0020_to_x0020_WFMax>
    <Job_x0020_Created xmlns="4cef84be-d13d-4d81-b00a-eac6814b3f5c">2017-05-24T08:40:13+00:00</Job_x0020_Created>
    <Status xmlns="a4a9da2b-6e79-4644-bb2a-b556bc2d250b">5</Status>
    <Link_x0020_to_x0020_Related_x0020_2 xmlns="a4a9da2b-6e79-4644-bb2a-b556bc2d250b">
      <Url xsi:nil="true"/>
      <Description xsi:nil="true"/>
    </Link_x0020_to_x0020_Related_x0020_2>
    <Link_x0020_to_x0020_Related xmlns="a4a9da2b-6e79-4644-bb2a-b556bc2d250b">
      <Url xsi:nil="true"/>
      <Description xsi:nil="true"/>
    </Link_x0020_to_x0020_Related>
  </documentManagement>
</p:properties>
</file>

<file path=customXml/itemProps1.xml><?xml version="1.0" encoding="utf-8"?>
<ds:datastoreItem xmlns:ds="http://schemas.openxmlformats.org/officeDocument/2006/customXml" ds:itemID="{182CE096-1D55-43F5-BAEF-AF6F228D6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a9da2b-6e79-4644-bb2a-b556bc2d250b"/>
    <ds:schemaRef ds:uri="4cef84be-d13d-4d81-b00a-eac6814b3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A73BAE-DE30-43AF-BAE4-233ECA245408}">
  <ds:schemaRefs>
    <ds:schemaRef ds:uri="http://schemas.microsoft.com/sharepoint/events"/>
  </ds:schemaRefs>
</ds:datastoreItem>
</file>

<file path=customXml/itemProps3.xml><?xml version="1.0" encoding="utf-8"?>
<ds:datastoreItem xmlns:ds="http://schemas.openxmlformats.org/officeDocument/2006/customXml" ds:itemID="{F022F2D3-5678-4900-A2E4-164B492D2443}">
  <ds:schemaRefs>
    <ds:schemaRef ds:uri="http://schemas.microsoft.com/sharepoint/v3/contenttype/forms"/>
  </ds:schemaRefs>
</ds:datastoreItem>
</file>

<file path=customXml/itemProps4.xml><?xml version="1.0" encoding="utf-8"?>
<ds:datastoreItem xmlns:ds="http://schemas.openxmlformats.org/officeDocument/2006/customXml" ds:itemID="{15CC2FAE-9CED-47B5-A27D-002B3A2EE206}">
  <ds:schemaRefs>
    <ds:schemaRef ds:uri="http://schemas.microsoft.com/office/2006/documentManagement/types"/>
    <ds:schemaRef ds:uri="http://schemas.openxmlformats.org/package/2006/metadata/core-properties"/>
    <ds:schemaRef ds:uri="http://schemas.microsoft.com/office/infopath/2007/PartnerControls"/>
    <ds:schemaRef ds:uri="4cef84be-d13d-4d81-b00a-eac6814b3f5c"/>
    <ds:schemaRef ds:uri="http://schemas.microsoft.com/sharepoint/v3"/>
    <ds:schemaRef ds:uri="http://purl.org/dc/elements/1.1/"/>
    <ds:schemaRef ds:uri="http://www.w3.org/XML/1998/namespace"/>
    <ds:schemaRef ds:uri="http://purl.org/dc/dcmitype/"/>
    <ds:schemaRef ds:uri="a4a9da2b-6e79-4644-bb2a-b556bc2d250b"/>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Aggregated expenditure (Core)</vt:lpstr>
      <vt:lpstr>Nominal per person (Core)</vt:lpstr>
      <vt:lpstr>Real (Core)</vt:lpstr>
      <vt:lpstr>Real per person (Core)</vt:lpstr>
      <vt:lpstr>Growth rate (Core)</vt:lpstr>
      <vt:lpstr>Total crown</vt:lpstr>
      <vt:lpstr>Nominal per person (Total)</vt:lpstr>
      <vt:lpstr>Real (total)</vt:lpstr>
      <vt:lpstr>Real per person (Total)</vt:lpstr>
      <vt:lpstr>Growth rate (Total)</vt:lpstr>
      <vt:lpstr>Population</vt:lpstr>
      <vt:lpstr>Inflation</vt:lpstr>
      <vt:lpstr>NZ SUPER</vt:lpstr>
      <vt:lpstr>Core Crown Expenditure 93-16</vt:lpstr>
      <vt:lpstr>Allocations</vt:lpstr>
      <vt:lpstr>From allocate tab</vt:lpstr>
      <vt:lpstr>From Fiscal forecasts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 Gamperle</dc:creator>
  <cp:lastModifiedBy>Toby Moore</cp:lastModifiedBy>
  <cp:revision/>
  <dcterms:created xsi:type="dcterms:W3CDTF">2017-05-23T22:07:48Z</dcterms:created>
  <dcterms:modified xsi:type="dcterms:W3CDTF">2018-05-17T04:20:07Z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0x010100F369549A17A5474C80B2D0D18F9A7A3601010500EDE12648E327D44D9FED5AFEC1743E01</vt:lpwstr>
  </property>
</Properties>
</file>